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19.02.14" sheetId="1" r:id="rId1"/>
  </sheets>
  <definedNames>
    <definedName name="_xlnm.Print_Area" localSheetId="0">'19.02.14'!$A$1:$K$196</definedName>
  </definedNames>
  <calcPr fullCalcOnLoad="1"/>
</workbook>
</file>

<file path=xl/sharedStrings.xml><?xml version="1.0" encoding="utf-8"?>
<sst xmlns="http://schemas.openxmlformats.org/spreadsheetml/2006/main" count="507" uniqueCount="413">
  <si>
    <t>"Утверждаю"</t>
  </si>
  <si>
    <t>Цена за 1 изделие</t>
  </si>
  <si>
    <t>Марка изделия</t>
  </si>
  <si>
    <t>Вес из-я, тн.</t>
  </si>
  <si>
    <t>Объем, куб.м</t>
  </si>
  <si>
    <t>Цена  без НДС</t>
  </si>
  <si>
    <t>Цена с НДС</t>
  </si>
  <si>
    <t>Цена  с НДС</t>
  </si>
  <si>
    <t>Плиты перекрытий пустотные 1.141-1 вып. 64,60</t>
  </si>
  <si>
    <t>Лотки   Л    3.006.1-2/87   вып.1</t>
  </si>
  <si>
    <t>ПК63-12-8АIIIвт</t>
  </si>
  <si>
    <t>1.640</t>
  </si>
  <si>
    <t>Л-4-8/2</t>
  </si>
  <si>
    <t>0.360</t>
  </si>
  <si>
    <t>ПК60-12-8АIIIвт</t>
  </si>
  <si>
    <t>1.560</t>
  </si>
  <si>
    <t>Л-4-15/2</t>
  </si>
  <si>
    <t>ПК60-12-12АIIIвт</t>
  </si>
  <si>
    <t>Л-5-8/2</t>
  </si>
  <si>
    <t>0.440</t>
  </si>
  <si>
    <t>ПК57-12-8АIIIвт</t>
  </si>
  <si>
    <t>1.480</t>
  </si>
  <si>
    <t>Л-5-15/2</t>
  </si>
  <si>
    <t>ПК56-12-12АIIIв (L 5650)</t>
  </si>
  <si>
    <t>Л-6-8/2</t>
  </si>
  <si>
    <t>0.450</t>
  </si>
  <si>
    <t>ПК56-12-8АIIIвт (L 5580)</t>
  </si>
  <si>
    <t>1.440</t>
  </si>
  <si>
    <t>Л-6-15/2</t>
  </si>
  <si>
    <t>ПК55-12-8АIIIвт</t>
  </si>
  <si>
    <t>Л-7-8/2</t>
  </si>
  <si>
    <t>0.530</t>
  </si>
  <si>
    <t>ПК54-12-8АIIIвт</t>
  </si>
  <si>
    <t>Л-7-15/2</t>
  </si>
  <si>
    <t>ПК53-12-8АIIIвт</t>
  </si>
  <si>
    <t>Л-11-8/2</t>
  </si>
  <si>
    <t>0.720</t>
  </si>
  <si>
    <t>ПК52-12-8АIIIвт</t>
  </si>
  <si>
    <t>Л-11-15/2</t>
  </si>
  <si>
    <t>ПК51-12-8АIIIвт</t>
  </si>
  <si>
    <t>1.330</t>
  </si>
  <si>
    <t>Л-14-8/2</t>
  </si>
  <si>
    <t>0.930</t>
  </si>
  <si>
    <t>ПК48-12-8АIIIт</t>
  </si>
  <si>
    <t>1.250</t>
  </si>
  <si>
    <t>Л-14-15/2</t>
  </si>
  <si>
    <t>ПК47-12-8АIIIт</t>
  </si>
  <si>
    <t>Л-17-8/2</t>
  </si>
  <si>
    <t>1.500</t>
  </si>
  <si>
    <t>ПК46-12-8АIIIт</t>
  </si>
  <si>
    <t>Л-17-15/2</t>
  </si>
  <si>
    <t xml:space="preserve">ПК45-12-8АIIIт </t>
  </si>
  <si>
    <t>1.163</t>
  </si>
  <si>
    <t xml:space="preserve">Плиты для установки оборудования ОРУ  3.407-102 </t>
  </si>
  <si>
    <t>ПК42-12-8АIIIт</t>
  </si>
  <si>
    <t>1.080</t>
  </si>
  <si>
    <t>НСП-1б</t>
  </si>
  <si>
    <t>0.875</t>
  </si>
  <si>
    <t>ПК41-12-8АIIIт</t>
  </si>
  <si>
    <t>НСП-3б</t>
  </si>
  <si>
    <t>1.310</t>
  </si>
  <si>
    <t>ПК40-12-12,5АIIIт</t>
  </si>
  <si>
    <t>Стойки  УСО   3.407-102  вып.1</t>
  </si>
  <si>
    <t>ПК39-12-8АIIIт</t>
  </si>
  <si>
    <t>УСО-1а</t>
  </si>
  <si>
    <t>0.320</t>
  </si>
  <si>
    <t>ПК38-12-8АIIIт</t>
  </si>
  <si>
    <t>УСО-2а</t>
  </si>
  <si>
    <t>0.270</t>
  </si>
  <si>
    <t>ПК37-12-8АIIIт</t>
  </si>
  <si>
    <t>УСО-3а</t>
  </si>
  <si>
    <t>0.220</t>
  </si>
  <si>
    <t>ПК36-12-8АIIIт</t>
  </si>
  <si>
    <t>УСО-4а</t>
  </si>
  <si>
    <t>0.190</t>
  </si>
  <si>
    <t>ПК35-12-8АIIIт</t>
  </si>
  <si>
    <t>УСО-5а</t>
  </si>
  <si>
    <t>0.140</t>
  </si>
  <si>
    <t>ПК34-12-8АIIIт</t>
  </si>
  <si>
    <t>Блоки стен подвалов  ФБС   ГОСТ 13579-78</t>
  </si>
  <si>
    <t>ПК33-12-8АIIIт</t>
  </si>
  <si>
    <t>ФБС24.3.6т</t>
  </si>
  <si>
    <t>ПК32-12-8АIIIт</t>
  </si>
  <si>
    <t>0.830</t>
  </si>
  <si>
    <t>ФБС24.4.6т</t>
  </si>
  <si>
    <t>ПК30-12-8АIIIт</t>
  </si>
  <si>
    <t>0.780</t>
  </si>
  <si>
    <t>ФБС24.5.6т</t>
  </si>
  <si>
    <t>ПК27-12-8АIIIт (L 2680)</t>
  </si>
  <si>
    <t>0.690</t>
  </si>
  <si>
    <t>ФБС24.6.6т</t>
  </si>
  <si>
    <t>ПК24-12-8АIIIт</t>
  </si>
  <si>
    <t>0.620</t>
  </si>
  <si>
    <t>ФБС12.3.6т</t>
  </si>
  <si>
    <t>ПК60-10-8АIIIвт</t>
  </si>
  <si>
    <t>ФБС12.4.6т</t>
  </si>
  <si>
    <t>ПК51-10-8АIIIвт</t>
  </si>
  <si>
    <t>ФБС12.5.6т</t>
  </si>
  <si>
    <t>ПК48-10-8АIIIт</t>
  </si>
  <si>
    <t>ФБС12.6.6т</t>
  </si>
  <si>
    <t>ПК42-10-8т</t>
  </si>
  <si>
    <t>ФБС9.3.6т</t>
  </si>
  <si>
    <t>ПК36-10-8т</t>
  </si>
  <si>
    <t>ФБС9.4.6т</t>
  </si>
  <si>
    <t>ПК30-10-8т</t>
  </si>
  <si>
    <t>ФБС9.5.6т</t>
  </si>
  <si>
    <t>ПК28-10-8т</t>
  </si>
  <si>
    <t>ФБС9.6.6т</t>
  </si>
  <si>
    <t>ПК24-10-8т</t>
  </si>
  <si>
    <t>ФБС6.3.6т</t>
  </si>
  <si>
    <t>ФБС6.4.6т</t>
  </si>
  <si>
    <t>Перемычки брусковые 1.038.1-1  вып.1  ГОСТ 948-84</t>
  </si>
  <si>
    <t>ФБС6.5.6т</t>
  </si>
  <si>
    <t>1ПБ-13-1п</t>
  </si>
  <si>
    <t>ФБС6.6.6т</t>
  </si>
  <si>
    <t>2ПБ-16-2п</t>
  </si>
  <si>
    <t>Фундаменты стаканного типа  1Ф   и 2Ф  1.020-1/83 вып.1-1</t>
  </si>
  <si>
    <t>2ПБ-19-3п</t>
  </si>
  <si>
    <t>1Ф12-8-3</t>
  </si>
  <si>
    <t>0.760</t>
  </si>
  <si>
    <t>2ПБ-25-3п</t>
  </si>
  <si>
    <t>1Ф18-9-3</t>
  </si>
  <si>
    <t>1.700</t>
  </si>
  <si>
    <t>2ПБ-26-4п</t>
  </si>
  <si>
    <t>2Ф12-9-1</t>
  </si>
  <si>
    <t>3ПБ-13-37п</t>
  </si>
  <si>
    <t>2Ф18-11-1</t>
  </si>
  <si>
    <t>1.800</t>
  </si>
  <si>
    <t>3ПБ-16-37п</t>
  </si>
  <si>
    <t>2Ф21-11-1</t>
  </si>
  <si>
    <t>2.300</t>
  </si>
  <si>
    <t>3ПБ-18-37п</t>
  </si>
  <si>
    <t>Плиты  покрытия  ребристые  3*12м   2ПГ    1.465.1-3/80 вып.5</t>
  </si>
  <si>
    <t>3ПБ-21-8п</t>
  </si>
  <si>
    <t>2ПГ12-3АIIIв Т</t>
  </si>
  <si>
    <t>2.960</t>
  </si>
  <si>
    <t>3ПБ-25-8п</t>
  </si>
  <si>
    <t>2ПГ12-4АIIIв Т</t>
  </si>
  <si>
    <t>3ПБ-27-8п</t>
  </si>
  <si>
    <t>2ПГ12-5АIIIв Т</t>
  </si>
  <si>
    <t>3ПБ-34-4п</t>
  </si>
  <si>
    <t>Плиты  покрытия  ребристые  3*6м   ПГ    ГОСТ 22701.(0-5)- 77</t>
  </si>
  <si>
    <t>5ПБ-21-27п</t>
  </si>
  <si>
    <t>ПГ-3АIIIв Т</t>
  </si>
  <si>
    <t>1.070</t>
  </si>
  <si>
    <t>5ПБ-25-37п</t>
  </si>
  <si>
    <t>ПГ-4АIIIв Т</t>
  </si>
  <si>
    <t>5ПБ-27-37п</t>
  </si>
  <si>
    <t>ПГ-5АIIIв Т</t>
  </si>
  <si>
    <t>5ПБ-30-37п</t>
  </si>
  <si>
    <t>ПГ-6АIIIв Т</t>
  </si>
  <si>
    <t xml:space="preserve">Изделия для колодцев  3.900-3  вып.7 </t>
  </si>
  <si>
    <t xml:space="preserve">Плиты  покрытий  ПАШв 1.465-3   вып.3 </t>
  </si>
  <si>
    <t>КЦП1-10-1</t>
  </si>
  <si>
    <t>0.100</t>
  </si>
  <si>
    <t>ПАIIIв(1.5*12)-э2</t>
  </si>
  <si>
    <t>2.040</t>
  </si>
  <si>
    <t>КЦП1-15-1</t>
  </si>
  <si>
    <t xml:space="preserve">ПАIIIв(1.5*12)-э3                                                                                                       </t>
  </si>
  <si>
    <t>Лестничный  марш   1.050.1-2  вып.1</t>
  </si>
  <si>
    <t>ПАIIIв(1.5*12)-э4</t>
  </si>
  <si>
    <t>1ЛМ27-11-14-4</t>
  </si>
  <si>
    <t>0.531</t>
  </si>
  <si>
    <t xml:space="preserve">Плиты  покрытия  2ПГ6   1.465.1-7/84                                     </t>
  </si>
  <si>
    <t>ЛМП57-11-14-5</t>
  </si>
  <si>
    <t>0.900</t>
  </si>
  <si>
    <t>2ПГ6-3АIIIвТ</t>
  </si>
  <si>
    <t>0.615</t>
  </si>
  <si>
    <t>ЛМП57-11-17-5</t>
  </si>
  <si>
    <t>0.950</t>
  </si>
  <si>
    <t>2ПГ6-4АIIIвТ</t>
  </si>
  <si>
    <t>ЛМП57-11-18-5</t>
  </si>
  <si>
    <t>2ПГ6-5АIIIвТ</t>
  </si>
  <si>
    <t>Ступени     ЛС     ГОСТ 8717 -84</t>
  </si>
  <si>
    <t>2ПГ6-6АIIIвТ</t>
  </si>
  <si>
    <t>ЛС 11-2</t>
  </si>
  <si>
    <t>0.046</t>
  </si>
  <si>
    <t xml:space="preserve">Cтойки  опор  центрифугированные ГОСТ 22687.1-85 №00468  КЖИ                                                                                             </t>
  </si>
  <si>
    <t>ЛС 12-2</t>
  </si>
  <si>
    <t>0.053</t>
  </si>
  <si>
    <t>СК 22.1-2,0</t>
  </si>
  <si>
    <t>договорная</t>
  </si>
  <si>
    <t>ЛС 14-2</t>
  </si>
  <si>
    <t>0.060</t>
  </si>
  <si>
    <t>СК 22.1-1,1</t>
  </si>
  <si>
    <t>ЛС 15-2</t>
  </si>
  <si>
    <t>0.066</t>
  </si>
  <si>
    <t>СК 22.1-2,1</t>
  </si>
  <si>
    <t>ЛС 17-2</t>
  </si>
  <si>
    <t>0.072</t>
  </si>
  <si>
    <t>СК 22.1-1АIII</t>
  </si>
  <si>
    <t>CК 22.1-2АIII</t>
  </si>
  <si>
    <t xml:space="preserve">Гаражи  для  автотранспорта   4*6 м  07-513                </t>
  </si>
  <si>
    <t>Прогоны  ПРГ   1.225-2  вып.12</t>
  </si>
  <si>
    <t>Компл.  1-1</t>
  </si>
  <si>
    <t>7.700</t>
  </si>
  <si>
    <t>ПРГ28.1.3-4АIII</t>
  </si>
  <si>
    <t>Компл.  1-10</t>
  </si>
  <si>
    <t>60.000</t>
  </si>
  <si>
    <t>ПРГ32.1.4-4АIII</t>
  </si>
  <si>
    <t>ПРГ36.1.4-4АIII</t>
  </si>
  <si>
    <t>0.170</t>
  </si>
  <si>
    <t>Комплект погреба    07-377</t>
  </si>
  <si>
    <t>ПРГ60.2.5-4АIII</t>
  </si>
  <si>
    <t>0.600</t>
  </si>
  <si>
    <t xml:space="preserve">Компл. 1,8*2,0  м </t>
  </si>
  <si>
    <t>3.100</t>
  </si>
  <si>
    <t>Ригели для опор ЛЭП  АР, Р-1А    3.407-115  вып.5</t>
  </si>
  <si>
    <t xml:space="preserve">в т.ч. на 1 к-т.:  </t>
  </si>
  <si>
    <t>АР-5</t>
  </si>
  <si>
    <t>0.200</t>
  </si>
  <si>
    <t xml:space="preserve">                      ПБС-1 </t>
  </si>
  <si>
    <t>АР-6</t>
  </si>
  <si>
    <t>0.275</t>
  </si>
  <si>
    <t xml:space="preserve">                         ПП-1 </t>
  </si>
  <si>
    <t>Р-1а</t>
  </si>
  <si>
    <t xml:space="preserve">                         ПЛ-1  </t>
  </si>
  <si>
    <t>Цена           без НДС</t>
  </si>
  <si>
    <t>Цена             без НДС</t>
  </si>
  <si>
    <t>Цена   с НДС</t>
  </si>
  <si>
    <t xml:space="preserve">Сваи   общестроительные   С 30 - С 120   по сер.1.011.1-10 </t>
  </si>
  <si>
    <t xml:space="preserve">Сваи    С    для  ВЛ    по сер.  3.404.9-146 </t>
  </si>
  <si>
    <t>С 30.30-6.1</t>
  </si>
  <si>
    <t>С 35-6-1</t>
  </si>
  <si>
    <t>С 30.30-8.1</t>
  </si>
  <si>
    <t>С 35-8-1</t>
  </si>
  <si>
    <t>0.960</t>
  </si>
  <si>
    <t>С 40.30-6.1</t>
  </si>
  <si>
    <t>С 35-8-2</t>
  </si>
  <si>
    <t>С 40.30-8.1</t>
  </si>
  <si>
    <t>С 35-10-1</t>
  </si>
  <si>
    <t>1.200</t>
  </si>
  <si>
    <t>С 50.30-6.1</t>
  </si>
  <si>
    <t>С 35-10-2</t>
  </si>
  <si>
    <t>С 50.30-8.1</t>
  </si>
  <si>
    <t>С 35-12-1</t>
  </si>
  <si>
    <t>1.450</t>
  </si>
  <si>
    <t>С 60.30-6.1</t>
  </si>
  <si>
    <t>Сваи    С   для ВЛ       12614  - ТМ</t>
  </si>
  <si>
    <t xml:space="preserve">С 60.30-8.1 </t>
  </si>
  <si>
    <t>С 35-1-6-нр</t>
  </si>
  <si>
    <t>С 70.30-6.1</t>
  </si>
  <si>
    <t>С 35-1-8-нр</t>
  </si>
  <si>
    <t>С 70.30-8.1</t>
  </si>
  <si>
    <t>С 35-1-10-нр</t>
  </si>
  <si>
    <t>С 80.30-6.1</t>
  </si>
  <si>
    <t>С 35-1-12-нр</t>
  </si>
  <si>
    <t>С 80.30-8.1</t>
  </si>
  <si>
    <t>Сваи  С    для   ВЛ           сер. 3.407-115 вып.4</t>
  </si>
  <si>
    <t>С 80.30-9.1</t>
  </si>
  <si>
    <t>С 35-1-8-Н</t>
  </si>
  <si>
    <t>С 90.30-8.1</t>
  </si>
  <si>
    <t>С 35-2-8-Н</t>
  </si>
  <si>
    <t>С 90.30-9.1</t>
  </si>
  <si>
    <t xml:space="preserve">С 35-1-10-Н </t>
  </si>
  <si>
    <t>С 100.30-6.1</t>
  </si>
  <si>
    <t>С 35-2-10-Н</t>
  </si>
  <si>
    <t>С 100.30-8.1</t>
  </si>
  <si>
    <t>С 35-1-12-Н</t>
  </si>
  <si>
    <t>С 100.30-9.1</t>
  </si>
  <si>
    <t>С 35-2-12-Н</t>
  </si>
  <si>
    <t>С 100.30-10.1</t>
  </si>
  <si>
    <t>С 35-1-8-1</t>
  </si>
  <si>
    <t>С 100.30-11.1</t>
  </si>
  <si>
    <t>С 35-1-10-1</t>
  </si>
  <si>
    <t>С 100.30-12.1</t>
  </si>
  <si>
    <t>С 35-1-12-1</t>
  </si>
  <si>
    <t xml:space="preserve">С 100.30-13.1 </t>
  </si>
  <si>
    <t>С 110.30-9.1</t>
  </si>
  <si>
    <t>Плиты каналов   П        3.006.1-2/87 вып.2</t>
  </si>
  <si>
    <t>С 110.30-10.1</t>
  </si>
  <si>
    <t>П6-15б</t>
  </si>
  <si>
    <t>0.280</t>
  </si>
  <si>
    <t>С 110.30-11.1</t>
  </si>
  <si>
    <t>П6д-15</t>
  </si>
  <si>
    <t>0.070</t>
  </si>
  <si>
    <t>С 110.30-12.1</t>
  </si>
  <si>
    <t>П9-15б</t>
  </si>
  <si>
    <t>0.420</t>
  </si>
  <si>
    <t>С 110.30-13.1</t>
  </si>
  <si>
    <t>П9д-15</t>
  </si>
  <si>
    <t xml:space="preserve">С 120.30-8.1 </t>
  </si>
  <si>
    <t>П12-12б</t>
  </si>
  <si>
    <t>0.710</t>
  </si>
  <si>
    <t xml:space="preserve">С 120.30-9.1 </t>
  </si>
  <si>
    <t>П12д-12</t>
  </si>
  <si>
    <t>0.180</t>
  </si>
  <si>
    <t xml:space="preserve">С 120.30-11.1 </t>
  </si>
  <si>
    <t>П16-15б</t>
  </si>
  <si>
    <t>0.990</t>
  </si>
  <si>
    <t xml:space="preserve">С 120.30-13.1 </t>
  </si>
  <si>
    <t>П16д-15</t>
  </si>
  <si>
    <t>0.250</t>
  </si>
  <si>
    <t>С 80.35-6.1</t>
  </si>
  <si>
    <t>Стойки    СВ     для  ВЛ     3.407.1-143 вып.7</t>
  </si>
  <si>
    <t>С 80.35-8.1</t>
  </si>
  <si>
    <t>СВ 110-3.5   IV</t>
  </si>
  <si>
    <t>С 80.35-9.1</t>
  </si>
  <si>
    <t>СВ 110-5  IY</t>
  </si>
  <si>
    <t xml:space="preserve">С 80.35-11.1 </t>
  </si>
  <si>
    <t>СВ  95-3</t>
  </si>
  <si>
    <t>С90.35-9.1</t>
  </si>
  <si>
    <t>Приставки   ПТ   для    ВЛ    и связи    3.407-57/ 87</t>
  </si>
  <si>
    <t>С 100.35-8.1</t>
  </si>
  <si>
    <t>ПТ 33-2</t>
  </si>
  <si>
    <t xml:space="preserve">С 100.35-10.1 </t>
  </si>
  <si>
    <t>ПТ 43-2</t>
  </si>
  <si>
    <t>0.130</t>
  </si>
  <si>
    <t xml:space="preserve">С 100.35-13.1 </t>
  </si>
  <si>
    <t>Элементы каналов   ВК       15818-в   АТЭПа</t>
  </si>
  <si>
    <t xml:space="preserve">С 120.35-8.1 </t>
  </si>
  <si>
    <t>ВК 1,8 - 2,0</t>
  </si>
  <si>
    <t xml:space="preserve">С 120.35-9.1 </t>
  </si>
  <si>
    <t>ВК 2,5 - 2,5</t>
  </si>
  <si>
    <t xml:space="preserve">С 120.35-10.1 </t>
  </si>
  <si>
    <t>ВК 3,0 - 3,0</t>
  </si>
  <si>
    <t>С 120.35-13.1</t>
  </si>
  <si>
    <t>ВК 4,2 - 3,0</t>
  </si>
  <si>
    <t>Балки покрытия таврового сечения  1 БСТ        1.462.1-10/80  вып.1</t>
  </si>
  <si>
    <t>Плиты покрытий  дорог</t>
  </si>
  <si>
    <t>1БСТ6-5АIII Т</t>
  </si>
  <si>
    <t>1П30-15-10 (КЖИ0.031013)</t>
  </si>
  <si>
    <t>Балки покрытия двутаврового сечения  1 БСД  1.462.1-10/80  вып.1</t>
  </si>
  <si>
    <t>ПД2-6Э</t>
  </si>
  <si>
    <t>1БСД9-5АIII Т</t>
  </si>
  <si>
    <t>ПДНм-АIY (3.503.1-91)</t>
  </si>
  <si>
    <t>1БСД9-6АIII Т</t>
  </si>
  <si>
    <t>ПДНм-АY (3.503.1-91)</t>
  </si>
  <si>
    <t>Балки двускатные решетчатые дл.12 м.  2 БДР12  1.462.1-3/80  вып.1</t>
  </si>
  <si>
    <t>2БДР12-5АIIIв Т-1,5</t>
  </si>
  <si>
    <t>2БДР12-6АIIIв Т-1,5</t>
  </si>
  <si>
    <t>2БДР12-7АIIIв Т-1,5</t>
  </si>
  <si>
    <t>2БДР12-8АIIIв Т</t>
  </si>
  <si>
    <t>Плиты перекрытий ребристые 33894а-С</t>
  </si>
  <si>
    <t>Балки двускатные решетчатые дл.18 м.  3БДР      1.462.1-3/80 вып.1</t>
  </si>
  <si>
    <t>ПМЖН-1-3</t>
  </si>
  <si>
    <t>3БДР18-5АIIIв Т-1,5</t>
  </si>
  <si>
    <t>ПМЖН-1-4</t>
  </si>
  <si>
    <t>3БДР18-6АIIIв Т-1,5</t>
  </si>
  <si>
    <t>ПМЖН-1-5</t>
  </si>
  <si>
    <t>3БДР18-7АIIIв Т-1,5</t>
  </si>
  <si>
    <t>ПМЖН-1-6</t>
  </si>
  <si>
    <t>Утяжелители для трубопроводов   УБКм № 10418  и   УБО № 999Б</t>
  </si>
  <si>
    <t>Фундаменты       ФЖ              №71159-с   АТЭПа</t>
  </si>
  <si>
    <t>1УБКм 325 – 4</t>
  </si>
  <si>
    <t>ФЖ-1м</t>
  </si>
  <si>
    <t>1УБКм 426 – 9 – 12,5</t>
  </si>
  <si>
    <t>ФЖ-15м-1</t>
  </si>
  <si>
    <t>2.680</t>
  </si>
  <si>
    <t>1УБКм 529 – 9 – 12,5</t>
  </si>
  <si>
    <t>ФЖ-15м-2</t>
  </si>
  <si>
    <t>1УБКм 1020 – 9 – 12,5</t>
  </si>
  <si>
    <t>ФЖ-16м-1</t>
  </si>
  <si>
    <t>1.950</t>
  </si>
  <si>
    <t>1УБКм 1220 – 9 – 12,5</t>
  </si>
  <si>
    <t>ФЖ-16м-2</t>
  </si>
  <si>
    <t>1УБКм 1420 – 8 – 12,5</t>
  </si>
  <si>
    <t>ФЖ-17м-1</t>
  </si>
  <si>
    <t>3.220</t>
  </si>
  <si>
    <t>УБО 530 – 2,3-12.5т        (компл)</t>
  </si>
  <si>
    <t>ФЖ-17м-2</t>
  </si>
  <si>
    <t>УБО 1020 – 2,3-12.5т      (компл)</t>
  </si>
  <si>
    <t>ФЖ-18м-1</t>
  </si>
  <si>
    <t>3.780</t>
  </si>
  <si>
    <t>УБО 1220 – 2,3-12.5т      (компл)</t>
  </si>
  <si>
    <t>ФЖ-18м-2</t>
  </si>
  <si>
    <t>УБО 1420 – 2,3-12.5т      (компл)</t>
  </si>
  <si>
    <t>УБО-М 1020 – 2,3-12.5т (компл)</t>
  </si>
  <si>
    <t>Плита  тротуарная     ППТ         07-654</t>
  </si>
  <si>
    <t>УБО-М 1220 – 2,3-12.5т (компл)</t>
  </si>
  <si>
    <t>ППТ2*1*0,14</t>
  </si>
  <si>
    <t>УБО-М 1420 – 2,3-12.5т (компл)</t>
  </si>
  <si>
    <t>Ригели     РДП,   РОП,    РЛП    1.020-1/83   вып.3-1</t>
  </si>
  <si>
    <t>Фундаменты   Ф     3.407.1-144  вып.1</t>
  </si>
  <si>
    <t>РДП 4.26-60</t>
  </si>
  <si>
    <t>Ф 1,5*1,5-2 (комплект) - (Ф2-2)</t>
  </si>
  <si>
    <t>РЛП 4.26-60</t>
  </si>
  <si>
    <t>Ф 1,5*1.0 -2 (комплект) - (Ф1-2)</t>
  </si>
  <si>
    <t>РОП 4.26-60</t>
  </si>
  <si>
    <t>Ф 1,5*2,2-2 (комплект) - (Ф3-2)</t>
  </si>
  <si>
    <t>Ф 2*1,6-А (комплект) -   (Ф-2А)</t>
  </si>
  <si>
    <t xml:space="preserve">Элементы оград              015. 00. 372  ПР                                                                               </t>
  </si>
  <si>
    <t>Ф 2*2,3-А (комплект) -   (Ф-3АМ)</t>
  </si>
  <si>
    <t>ПО25.30-2-1т (015.00.372  ПР)</t>
  </si>
  <si>
    <t>Ф 2*3,6-А (комплект) -   (Ф-5уА)</t>
  </si>
  <si>
    <t>Ф-2 (3.017-1 вып.1)</t>
  </si>
  <si>
    <t>0.230</t>
  </si>
  <si>
    <t>Ф 2*2,8-2 (комплект)</t>
  </si>
  <si>
    <t>ПО 6ВА  (фундамент по забор)</t>
  </si>
  <si>
    <t>Ф 2*3,0-А (комплект)</t>
  </si>
  <si>
    <t>П-6ВАБ  (панель)</t>
  </si>
  <si>
    <t>Камень ж/б бортовой   БУ   и БР  ГОСТ 6665-91</t>
  </si>
  <si>
    <t>Фундаменты    ФЛ   ГОСТ 13580-85</t>
  </si>
  <si>
    <t>ЦЕНА</t>
  </si>
  <si>
    <t>БР 100.30.18</t>
  </si>
  <si>
    <t>ФЛ6-24-4</t>
  </si>
  <si>
    <t>БУ 300-30-29</t>
  </si>
  <si>
    <t>ФЛ6-12-4</t>
  </si>
  <si>
    <t>ФЛ12-24-3</t>
  </si>
  <si>
    <t>ФЛ12-8-3</t>
  </si>
  <si>
    <t>ФЛ24-12-3</t>
  </si>
  <si>
    <t>ФЛ24-8-3</t>
  </si>
  <si>
    <t>Плита для большегрузного транспорта</t>
  </si>
  <si>
    <t>П 6.2.0.18</t>
  </si>
  <si>
    <t>Плита для вертолетных площадок</t>
  </si>
  <si>
    <t>Плиты для дорожного покрытия          по      ТУ 5846-001-16621786-2013</t>
  </si>
  <si>
    <t xml:space="preserve">ЦЕНА </t>
  </si>
  <si>
    <t xml:space="preserve">Цена </t>
  </si>
  <si>
    <t xml:space="preserve"> Продукция Бетонного завода строительных конструкций</t>
  </si>
  <si>
    <t>Ген. директор ООО "БЗСК"</t>
  </si>
  <si>
    <t>________________А.В. Андреев</t>
  </si>
  <si>
    <t>Тел. отдела сбыта:+7(912)241-35-16</t>
  </si>
  <si>
    <t>на  1  сентября  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</si>
</sst>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"/>
    <numFmt numFmtId="175" formatCode="0.000000"/>
    <numFmt numFmtId="176" formatCode="0.00000"/>
    <numFmt numFmtId="177" formatCode="0.0000"/>
    <numFmt numFmtId="178" formatCode="0.0000000"/>
  </numFmts>
  <fonts count="58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4"/>
      <name val="Arial Cyr"/>
      <family val="2"/>
    </font>
    <font>
      <sz val="24"/>
      <name val="Arial Cyr"/>
      <family val="2"/>
    </font>
    <font>
      <sz val="24"/>
      <name val="Arial"/>
      <family val="2"/>
    </font>
    <font>
      <b/>
      <sz val="24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b/>
      <sz val="28"/>
      <name val="Arial"/>
      <family val="2"/>
    </font>
    <font>
      <sz val="28"/>
      <name val="Arial"/>
      <family val="2"/>
    </font>
    <font>
      <b/>
      <sz val="26"/>
      <name val="Arial Cyr"/>
      <family val="2"/>
    </font>
    <font>
      <b/>
      <sz val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172" fontId="10" fillId="0" borderId="0" xfId="0" applyNumberFormat="1" applyFont="1" applyAlignment="1">
      <alignment horizontal="right"/>
    </xf>
    <xf numFmtId="4" fontId="1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72" fontId="10" fillId="0" borderId="11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11" fillId="0" borderId="0" xfId="0" applyNumberFormat="1" applyFont="1" applyAlignment="1">
      <alignment horizontal="right"/>
    </xf>
    <xf numFmtId="1" fontId="13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right"/>
    </xf>
    <xf numFmtId="172" fontId="10" fillId="0" borderId="14" xfId="0" applyNumberFormat="1" applyFont="1" applyBorder="1" applyAlignment="1">
      <alignment horizontal="center"/>
    </xf>
    <xf numFmtId="172" fontId="10" fillId="0" borderId="14" xfId="0" applyNumberFormat="1" applyFont="1" applyBorder="1" applyAlignment="1">
      <alignment horizontal="right"/>
    </xf>
    <xf numFmtId="1" fontId="13" fillId="0" borderId="10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172" fontId="10" fillId="0" borderId="16" xfId="0" applyNumberFormat="1" applyFont="1" applyBorder="1" applyAlignment="1">
      <alignment horizontal="left"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172" fontId="10" fillId="0" borderId="1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0" fillId="0" borderId="0" xfId="0" applyNumberFormat="1" applyFont="1" applyAlignment="1">
      <alignment horizontal="right"/>
    </xf>
    <xf numFmtId="174" fontId="13" fillId="0" borderId="10" xfId="0" applyNumberFormat="1" applyFont="1" applyBorder="1" applyAlignment="1">
      <alignment/>
    </xf>
    <xf numFmtId="172" fontId="14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72" fontId="16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72" fontId="16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17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0" xfId="0" applyNumberFormat="1" applyFont="1" applyBorder="1" applyAlignment="1">
      <alignment horizontal="center"/>
    </xf>
    <xf numFmtId="172" fontId="11" fillId="0" borderId="0" xfId="0" applyNumberFormat="1" applyFont="1" applyAlignment="1">
      <alignment/>
    </xf>
    <xf numFmtId="172" fontId="10" fillId="0" borderId="10" xfId="0" applyNumberFormat="1" applyFont="1" applyBorder="1" applyAlignment="1">
      <alignment/>
    </xf>
    <xf numFmtId="172" fontId="10" fillId="0" borderId="13" xfId="0" applyNumberFormat="1" applyFont="1" applyBorder="1" applyAlignment="1">
      <alignment horizontal="center"/>
    </xf>
    <xf numFmtId="172" fontId="10" fillId="0" borderId="13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4" fontId="12" fillId="0" borderId="16" xfId="0" applyNumberFormat="1" applyFont="1" applyBorder="1" applyAlignment="1">
      <alignment/>
    </xf>
    <xf numFmtId="4" fontId="12" fillId="0" borderId="16" xfId="0" applyNumberFormat="1" applyFont="1" applyBorder="1" applyAlignment="1">
      <alignment/>
    </xf>
    <xf numFmtId="1" fontId="13" fillId="0" borderId="15" xfId="0" applyNumberFormat="1" applyFont="1" applyBorder="1" applyAlignment="1">
      <alignment/>
    </xf>
    <xf numFmtId="4" fontId="13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172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0" xfId="0" applyFont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" fontId="1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20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10" xfId="0" applyFont="1" applyBorder="1" applyAlignment="1">
      <alignment/>
    </xf>
    <xf numFmtId="172" fontId="20" fillId="0" borderId="10" xfId="0" applyNumberFormat="1" applyFont="1" applyBorder="1" applyAlignment="1">
      <alignment horizontal="center"/>
    </xf>
    <xf numFmtId="172" fontId="2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</xdr:row>
      <xdr:rowOff>0</xdr:rowOff>
    </xdr:from>
    <xdr:to>
      <xdr:col>1</xdr:col>
      <xdr:colOff>742950</xdr:colOff>
      <xdr:row>13</xdr:row>
      <xdr:rowOff>152400</xdr:rowOff>
    </xdr:to>
    <xdr:pic>
      <xdr:nvPicPr>
        <xdr:cNvPr id="1" name="Picture 1" descr="0001"/>
        <xdr:cNvPicPr preferRelativeResize="1">
          <a:picLocks noChangeAspect="0"/>
        </xdr:cNvPicPr>
      </xdr:nvPicPr>
      <xdr:blipFill>
        <a:blip r:embed="rId1"/>
        <a:srcRect b="2166"/>
        <a:stretch>
          <a:fillRect/>
        </a:stretch>
      </xdr:blipFill>
      <xdr:spPr>
        <a:xfrm>
          <a:off x="1819275" y="323850"/>
          <a:ext cx="44767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5"/>
  <sheetViews>
    <sheetView tabSelected="1" view="pageLayout" zoomScale="40" zoomScaleNormal="30" zoomScalePageLayoutView="40" workbookViewId="0" topLeftCell="A1">
      <selection activeCell="E8" sqref="E8"/>
    </sheetView>
  </sheetViews>
  <sheetFormatPr defaultColWidth="9.140625" defaultRowHeight="12.75"/>
  <cols>
    <col min="1" max="1" width="83.28125" style="0" customWidth="1"/>
    <col min="2" max="2" width="27.7109375" style="0" customWidth="1"/>
    <col min="3" max="3" width="32.7109375" style="0" customWidth="1"/>
    <col min="4" max="4" width="32.421875" style="0" customWidth="1"/>
    <col min="5" max="5" width="26.28125" style="0" customWidth="1"/>
    <col min="6" max="6" width="22.00390625" style="0" customWidth="1"/>
    <col min="7" max="7" width="63.7109375" style="0" customWidth="1"/>
    <col min="8" max="8" width="29.421875" style="0" customWidth="1"/>
    <col min="9" max="9" width="23.7109375" style="0" customWidth="1"/>
    <col min="10" max="10" width="38.7109375" style="0" customWidth="1"/>
    <col min="11" max="11" width="41.28125" style="0" customWidth="1"/>
  </cols>
  <sheetData>
    <row r="3" spans="1:11" ht="27.75">
      <c r="A3" s="1"/>
      <c r="B3" s="1"/>
      <c r="C3" s="2"/>
      <c r="D3" s="3"/>
      <c r="E3" s="3"/>
      <c r="F3" s="1"/>
      <c r="G3" s="1"/>
      <c r="H3" s="1"/>
      <c r="I3" s="2"/>
      <c r="J3" s="105"/>
      <c r="K3" s="106" t="s">
        <v>0</v>
      </c>
    </row>
    <row r="4" spans="1:11" ht="27.75">
      <c r="A4" s="1"/>
      <c r="B4" s="1"/>
      <c r="C4" s="2"/>
      <c r="D4" s="3"/>
      <c r="E4" s="3"/>
      <c r="F4" s="1"/>
      <c r="G4" s="1"/>
      <c r="H4" s="1"/>
      <c r="I4" s="2"/>
      <c r="J4" s="105"/>
      <c r="K4" s="106" t="s">
        <v>409</v>
      </c>
    </row>
    <row r="5" spans="1:11" ht="27.75">
      <c r="A5" s="1"/>
      <c r="B5" s="1"/>
      <c r="C5" s="2"/>
      <c r="D5" s="3"/>
      <c r="E5" s="3"/>
      <c r="F5" s="1"/>
      <c r="G5" s="1"/>
      <c r="H5" s="1"/>
      <c r="I5" s="2"/>
      <c r="J5" s="105"/>
      <c r="K5" s="106" t="s">
        <v>410</v>
      </c>
    </row>
    <row r="6" spans="1:11" ht="27.75">
      <c r="A6" s="1"/>
      <c r="B6" s="1"/>
      <c r="C6" s="2"/>
      <c r="D6" s="3"/>
      <c r="E6" s="3"/>
      <c r="F6" s="1"/>
      <c r="G6" s="1"/>
      <c r="H6" s="1"/>
      <c r="I6" s="2"/>
      <c r="J6" s="105"/>
      <c r="K6" s="106"/>
    </row>
    <row r="7" spans="1:11" ht="35.25">
      <c r="A7" s="1"/>
      <c r="B7" s="1"/>
      <c r="C7" s="6"/>
      <c r="D7" s="107"/>
      <c r="E7" s="107"/>
      <c r="F7" s="108" t="s">
        <v>408</v>
      </c>
      <c r="G7" s="109"/>
      <c r="H7" s="7"/>
      <c r="I7" s="8"/>
      <c r="J7" s="3"/>
      <c r="K7" s="3"/>
    </row>
    <row r="8" spans="1:11" ht="35.25">
      <c r="A8" s="1"/>
      <c r="B8" s="1"/>
      <c r="C8" s="9"/>
      <c r="D8" s="110"/>
      <c r="E8" s="107" t="s">
        <v>412</v>
      </c>
      <c r="F8" s="108"/>
      <c r="G8" s="109"/>
      <c r="H8" s="7"/>
      <c r="I8" s="10"/>
      <c r="J8" s="1"/>
      <c r="K8" s="1"/>
    </row>
    <row r="9" spans="1:11" ht="35.25">
      <c r="A9" s="1"/>
      <c r="B9" s="1"/>
      <c r="C9" s="2"/>
      <c r="D9" s="110"/>
      <c r="E9" s="107"/>
      <c r="F9" s="108"/>
      <c r="G9" s="109"/>
      <c r="H9" s="13"/>
      <c r="I9" s="9"/>
      <c r="J9" s="4"/>
      <c r="K9" s="5"/>
    </row>
    <row r="10" spans="1:11" ht="20.25">
      <c r="A10" s="1"/>
      <c r="B10" s="1"/>
      <c r="C10" s="111"/>
      <c r="D10" s="11"/>
      <c r="E10" s="4"/>
      <c r="F10" s="12"/>
      <c r="G10" s="13"/>
      <c r="H10" s="13"/>
      <c r="I10" s="9"/>
      <c r="J10" s="4"/>
      <c r="K10" s="5"/>
    </row>
    <row r="11" spans="1:11" ht="15">
      <c r="A11" s="1"/>
      <c r="B11" s="1"/>
      <c r="C11" s="2"/>
      <c r="D11" s="11"/>
      <c r="E11" s="4"/>
      <c r="F11" s="12"/>
      <c r="G11" s="13"/>
      <c r="H11" s="13"/>
      <c r="I11" s="9"/>
      <c r="J11" s="4"/>
      <c r="K11" s="5"/>
    </row>
    <row r="12" spans="1:11" ht="15">
      <c r="A12" s="1"/>
      <c r="B12" s="1"/>
      <c r="C12" s="2"/>
      <c r="D12" s="11"/>
      <c r="E12" s="4"/>
      <c r="F12" s="12"/>
      <c r="G12" s="13"/>
      <c r="H12" s="13"/>
      <c r="I12" s="9"/>
      <c r="J12" s="4"/>
      <c r="K12" s="5"/>
    </row>
    <row r="13" spans="1:11" ht="15">
      <c r="A13" s="1"/>
      <c r="B13" s="1"/>
      <c r="C13" s="2"/>
      <c r="D13" s="11"/>
      <c r="E13" s="4"/>
      <c r="F13" s="12"/>
      <c r="G13" s="13"/>
      <c r="H13" s="13"/>
      <c r="I13" s="9"/>
      <c r="J13" s="4"/>
      <c r="K13" s="5"/>
    </row>
    <row r="14" spans="1:11" ht="15.75" thickBot="1">
      <c r="A14" s="1"/>
      <c r="B14" s="1"/>
      <c r="C14" s="2"/>
      <c r="D14" s="11"/>
      <c r="E14" s="4"/>
      <c r="F14" s="12"/>
      <c r="G14" s="13"/>
      <c r="H14" s="13"/>
      <c r="I14" s="9"/>
      <c r="J14" s="4"/>
      <c r="K14" s="5"/>
    </row>
    <row r="15" spans="1:11" ht="30" thickBot="1">
      <c r="A15" s="14"/>
      <c r="B15" s="14"/>
      <c r="C15" s="15"/>
      <c r="D15" s="16"/>
      <c r="E15" s="17"/>
      <c r="F15" s="18"/>
      <c r="G15" s="19"/>
      <c r="H15" s="19"/>
      <c r="I15" s="15"/>
      <c r="J15" s="17"/>
      <c r="K15" s="126" t="s">
        <v>1</v>
      </c>
    </row>
    <row r="16" spans="1:11" ht="48.75">
      <c r="A16" s="133" t="s">
        <v>2</v>
      </c>
      <c r="B16" s="134" t="s">
        <v>3</v>
      </c>
      <c r="C16" s="134" t="s">
        <v>4</v>
      </c>
      <c r="D16" s="135" t="s">
        <v>5</v>
      </c>
      <c r="E16" s="135" t="s">
        <v>6</v>
      </c>
      <c r="F16" s="136"/>
      <c r="G16" s="133" t="s">
        <v>2</v>
      </c>
      <c r="H16" s="134" t="s">
        <v>3</v>
      </c>
      <c r="I16" s="134" t="s">
        <v>4</v>
      </c>
      <c r="J16" s="135" t="s">
        <v>5</v>
      </c>
      <c r="K16" s="137" t="s">
        <v>7</v>
      </c>
    </row>
    <row r="17" spans="1:11" ht="30">
      <c r="A17" s="24" t="s">
        <v>8</v>
      </c>
      <c r="B17" s="24"/>
      <c r="C17" s="25"/>
      <c r="D17" s="26"/>
      <c r="E17" s="26"/>
      <c r="F17" s="27"/>
      <c r="G17" s="24" t="s">
        <v>9</v>
      </c>
      <c r="H17" s="24"/>
      <c r="I17" s="25"/>
      <c r="J17" s="26"/>
      <c r="K17" s="26"/>
    </row>
    <row r="18" spans="1:11" ht="33">
      <c r="A18" s="128" t="s">
        <v>10</v>
      </c>
      <c r="B18" s="129">
        <v>2.2</v>
      </c>
      <c r="C18" s="130" t="s">
        <v>11</v>
      </c>
      <c r="D18" s="131">
        <f>6421*0.95*1.07*1.05*1.05</f>
        <v>7195.958516250001</v>
      </c>
      <c r="E18" s="132">
        <f aca="true" t="shared" si="0" ref="E18:E54">D18*1.18</f>
        <v>8491.231049175</v>
      </c>
      <c r="F18" s="27"/>
      <c r="G18" s="28" t="s">
        <v>12</v>
      </c>
      <c r="H18" s="29">
        <v>0.9</v>
      </c>
      <c r="I18" s="30" t="s">
        <v>13</v>
      </c>
      <c r="J18" s="31">
        <f>4366*1.07*1.05</f>
        <v>4905.201</v>
      </c>
      <c r="K18" s="32">
        <f aca="true" t="shared" si="1" ref="K18:K31">J18*1.18</f>
        <v>5788.13718</v>
      </c>
    </row>
    <row r="19" spans="1:11" ht="30">
      <c r="A19" s="28" t="s">
        <v>14</v>
      </c>
      <c r="B19" s="29">
        <v>2.1</v>
      </c>
      <c r="C19" s="30" t="s">
        <v>15</v>
      </c>
      <c r="D19" s="31">
        <f>6136*0.95*1.07*1.05*1.05</f>
        <v>6876.561510000001</v>
      </c>
      <c r="E19" s="32">
        <f t="shared" si="0"/>
        <v>8114.342581800001</v>
      </c>
      <c r="F19" s="27"/>
      <c r="G19" s="28" t="s">
        <v>16</v>
      </c>
      <c r="H19" s="29">
        <v>0.9</v>
      </c>
      <c r="I19" s="30">
        <v>0.36</v>
      </c>
      <c r="J19" s="31">
        <f>4595*1.07*1.05</f>
        <v>5162.482500000001</v>
      </c>
      <c r="K19" s="32">
        <f t="shared" si="1"/>
        <v>6091.7293500000005</v>
      </c>
    </row>
    <row r="20" spans="1:11" ht="30">
      <c r="A20" s="28" t="s">
        <v>17</v>
      </c>
      <c r="B20" s="29">
        <v>2.1</v>
      </c>
      <c r="C20" s="30">
        <v>1.56</v>
      </c>
      <c r="D20" s="31">
        <f>6618*0.95*1.07*1.05*1.05</f>
        <v>7416.734692500001</v>
      </c>
      <c r="E20" s="32">
        <f t="shared" si="0"/>
        <v>8751.746937150001</v>
      </c>
      <c r="F20" s="27"/>
      <c r="G20" s="28" t="s">
        <v>18</v>
      </c>
      <c r="H20" s="29">
        <v>1.13</v>
      </c>
      <c r="I20" s="30" t="s">
        <v>19</v>
      </c>
      <c r="J20" s="31">
        <f>4987*1.07*1.05</f>
        <v>5602.8945</v>
      </c>
      <c r="K20" s="32">
        <f t="shared" si="1"/>
        <v>6611.41551</v>
      </c>
    </row>
    <row r="21" spans="1:11" ht="30">
      <c r="A21" s="28" t="s">
        <v>20</v>
      </c>
      <c r="B21" s="29">
        <v>2</v>
      </c>
      <c r="C21" s="30" t="s">
        <v>21</v>
      </c>
      <c r="D21" s="31">
        <f>5845*0.95*1.07*1.05*1.05</f>
        <v>6550.440356250001</v>
      </c>
      <c r="E21" s="32">
        <f t="shared" si="0"/>
        <v>7729.519620375001</v>
      </c>
      <c r="F21" s="27"/>
      <c r="G21" s="28" t="s">
        <v>22</v>
      </c>
      <c r="H21" s="29">
        <v>1.13</v>
      </c>
      <c r="I21" s="30">
        <v>0.44</v>
      </c>
      <c r="J21" s="31">
        <f>5460*1.07*1.05</f>
        <v>6134.310000000001</v>
      </c>
      <c r="K21" s="32">
        <f t="shared" si="1"/>
        <v>7238.485800000001</v>
      </c>
    </row>
    <row r="22" spans="1:11" ht="30">
      <c r="A22" s="28" t="s">
        <v>23</v>
      </c>
      <c r="B22" s="29">
        <v>2</v>
      </c>
      <c r="C22" s="30">
        <v>1.48</v>
      </c>
      <c r="D22" s="31">
        <f>7567*0.95*1.07*1.05*1.05</f>
        <v>8480.27068875</v>
      </c>
      <c r="E22" s="32">
        <f t="shared" si="0"/>
        <v>10006.719412725</v>
      </c>
      <c r="F22" s="27"/>
      <c r="G22" s="28" t="s">
        <v>24</v>
      </c>
      <c r="H22" s="29">
        <v>1.13</v>
      </c>
      <c r="I22" s="30" t="s">
        <v>25</v>
      </c>
      <c r="J22" s="31">
        <f>6355*0.95*1.07*1.05</f>
        <v>6782.850375</v>
      </c>
      <c r="K22" s="32">
        <f t="shared" si="1"/>
        <v>8003.7634425</v>
      </c>
    </row>
    <row r="23" spans="1:11" ht="30">
      <c r="A23" s="28" t="s">
        <v>26</v>
      </c>
      <c r="B23" s="29">
        <v>2</v>
      </c>
      <c r="C23" s="30" t="s">
        <v>27</v>
      </c>
      <c r="D23" s="31">
        <f>5812*0.95*1.07*1.05*1.05</f>
        <v>6513.457545000001</v>
      </c>
      <c r="E23" s="32">
        <f t="shared" si="0"/>
        <v>7685.879903100001</v>
      </c>
      <c r="F23" s="27"/>
      <c r="G23" s="28" t="s">
        <v>28</v>
      </c>
      <c r="H23" s="29">
        <v>1.13</v>
      </c>
      <c r="I23" s="30">
        <v>0.45</v>
      </c>
      <c r="J23" s="31">
        <f>6544*0.95*1.07*1.05</f>
        <v>6984.5748</v>
      </c>
      <c r="K23" s="32">
        <f t="shared" si="1"/>
        <v>8241.798264</v>
      </c>
    </row>
    <row r="24" spans="1:11" ht="30">
      <c r="A24" s="28" t="s">
        <v>29</v>
      </c>
      <c r="B24" s="29">
        <v>1.95</v>
      </c>
      <c r="C24" s="30">
        <v>1.42</v>
      </c>
      <c r="D24" s="31">
        <f>5728*0.95*1.07*1.05*1.05</f>
        <v>6419.31948</v>
      </c>
      <c r="E24" s="32">
        <f t="shared" si="0"/>
        <v>7574.7969864</v>
      </c>
      <c r="F24" s="27"/>
      <c r="G24" s="28" t="s">
        <v>30</v>
      </c>
      <c r="H24" s="29">
        <v>1.35</v>
      </c>
      <c r="I24" s="30" t="s">
        <v>31</v>
      </c>
      <c r="J24" s="31">
        <f>6443*1.07*1.05</f>
        <v>7238.7105</v>
      </c>
      <c r="K24" s="32">
        <f t="shared" si="1"/>
        <v>8541.67839</v>
      </c>
    </row>
    <row r="25" spans="1:11" ht="30">
      <c r="A25" s="33" t="s">
        <v>32</v>
      </c>
      <c r="B25" s="34">
        <v>1.9</v>
      </c>
      <c r="C25" s="35">
        <v>1.41</v>
      </c>
      <c r="D25" s="31">
        <f>5629*0.95*1.07*1.05*1.05</f>
        <v>6308.371046250001</v>
      </c>
      <c r="E25" s="32">
        <f t="shared" si="0"/>
        <v>7443.877834575001</v>
      </c>
      <c r="F25" s="27"/>
      <c r="G25" s="28" t="s">
        <v>33</v>
      </c>
      <c r="H25" s="29">
        <v>1.35</v>
      </c>
      <c r="I25" s="30">
        <v>0.53</v>
      </c>
      <c r="J25" s="31">
        <f>7014*1.07*1.05</f>
        <v>7880.229000000001</v>
      </c>
      <c r="K25" s="32">
        <f t="shared" si="1"/>
        <v>9298.670220000002</v>
      </c>
    </row>
    <row r="26" spans="1:11" ht="30">
      <c r="A26" s="33" t="s">
        <v>34</v>
      </c>
      <c r="B26" s="34">
        <v>1.9</v>
      </c>
      <c r="C26" s="35">
        <v>1.39</v>
      </c>
      <c r="D26" s="31">
        <f>5550*0.95*1.07*1.05*1.05</f>
        <v>6219.836437500002</v>
      </c>
      <c r="E26" s="32">
        <f t="shared" si="0"/>
        <v>7339.406996250002</v>
      </c>
      <c r="F26" s="27"/>
      <c r="G26" s="28" t="s">
        <v>35</v>
      </c>
      <c r="H26" s="29">
        <v>1.8</v>
      </c>
      <c r="I26" s="30" t="s">
        <v>36</v>
      </c>
      <c r="J26" s="31">
        <f>10125*1.07*1.05</f>
        <v>11375.4375</v>
      </c>
      <c r="K26" s="32">
        <f t="shared" si="1"/>
        <v>13423.016249999999</v>
      </c>
    </row>
    <row r="27" spans="1:11" ht="30">
      <c r="A27" s="33" t="s">
        <v>37</v>
      </c>
      <c r="B27" s="34">
        <v>1.8</v>
      </c>
      <c r="C27" s="35">
        <v>1.34</v>
      </c>
      <c r="D27" s="31">
        <f>5481*0.95*1.07*1.05*1.05</f>
        <v>6142.50874125</v>
      </c>
      <c r="E27" s="32">
        <f t="shared" si="0"/>
        <v>7248.160314674999</v>
      </c>
      <c r="F27" s="27"/>
      <c r="G27" s="28" t="s">
        <v>38</v>
      </c>
      <c r="H27" s="29">
        <v>1.8</v>
      </c>
      <c r="I27" s="30">
        <v>0.72</v>
      </c>
      <c r="J27" s="31">
        <f>12215*1.07*1.05</f>
        <v>13723.552500000002</v>
      </c>
      <c r="K27" s="32">
        <f t="shared" si="1"/>
        <v>16193.79195</v>
      </c>
    </row>
    <row r="28" spans="1:11" ht="30">
      <c r="A28" s="28" t="s">
        <v>39</v>
      </c>
      <c r="B28" s="29">
        <v>1.8</v>
      </c>
      <c r="C28" s="30" t="s">
        <v>40</v>
      </c>
      <c r="D28" s="31">
        <f>5319*0.95*1.07*1.05*1.05</f>
        <v>5960.956758750001</v>
      </c>
      <c r="E28" s="32">
        <f t="shared" si="0"/>
        <v>7033.928975325001</v>
      </c>
      <c r="F28" s="27"/>
      <c r="G28" s="28" t="s">
        <v>41</v>
      </c>
      <c r="H28" s="29">
        <v>2.33</v>
      </c>
      <c r="I28" s="30" t="s">
        <v>42</v>
      </c>
      <c r="J28" s="31">
        <f>11706*1.07*1.05</f>
        <v>13151.691</v>
      </c>
      <c r="K28" s="32">
        <f t="shared" si="1"/>
        <v>15518.99538</v>
      </c>
    </row>
    <row r="29" spans="1:11" ht="30">
      <c r="A29" s="28" t="s">
        <v>43</v>
      </c>
      <c r="B29" s="29">
        <v>1.7</v>
      </c>
      <c r="C29" s="30" t="s">
        <v>44</v>
      </c>
      <c r="D29" s="31">
        <f>5024*0.95*1.07*1.05*1.05</f>
        <v>5630.3528400000005</v>
      </c>
      <c r="E29" s="32">
        <f t="shared" si="0"/>
        <v>6643.8163512</v>
      </c>
      <c r="F29" s="27"/>
      <c r="G29" s="28" t="s">
        <v>45</v>
      </c>
      <c r="H29" s="29">
        <v>2.33</v>
      </c>
      <c r="I29" s="30">
        <v>0.93</v>
      </c>
      <c r="J29" s="31">
        <f>13882*1.07*1.05</f>
        <v>15596.427000000001</v>
      </c>
      <c r="K29" s="32">
        <f t="shared" si="1"/>
        <v>18403.78386</v>
      </c>
    </row>
    <row r="30" spans="1:11" ht="30">
      <c r="A30" s="28" t="s">
        <v>46</v>
      </c>
      <c r="B30" s="29">
        <v>1.68</v>
      </c>
      <c r="C30" s="30">
        <v>1.21</v>
      </c>
      <c r="D30" s="31">
        <f>4999*0.95*1.07*1.05*1.05</f>
        <v>5602.335558750001</v>
      </c>
      <c r="E30" s="32">
        <f t="shared" si="0"/>
        <v>6610.755959325001</v>
      </c>
      <c r="F30" s="27"/>
      <c r="G30" s="28" t="s">
        <v>47</v>
      </c>
      <c r="H30" s="29">
        <v>3.8</v>
      </c>
      <c r="I30" s="30" t="s">
        <v>48</v>
      </c>
      <c r="J30" s="31">
        <f>16659*1.07*1.05</f>
        <v>18716.3865</v>
      </c>
      <c r="K30" s="32">
        <f t="shared" si="1"/>
        <v>22085.33607</v>
      </c>
    </row>
    <row r="31" spans="1:11" ht="30">
      <c r="A31" s="28" t="s">
        <v>49</v>
      </c>
      <c r="B31" s="29">
        <v>1.63</v>
      </c>
      <c r="C31" s="30">
        <v>1.18</v>
      </c>
      <c r="D31" s="31">
        <f>4912*0.95*1.07*1.05*1.05</f>
        <v>5504.83542</v>
      </c>
      <c r="E31" s="32">
        <f t="shared" si="0"/>
        <v>6495.7057956</v>
      </c>
      <c r="F31" s="27"/>
      <c r="G31" s="28" t="s">
        <v>50</v>
      </c>
      <c r="H31" s="29">
        <v>3.8</v>
      </c>
      <c r="I31" s="30">
        <v>1.5</v>
      </c>
      <c r="J31" s="31">
        <f>19636*1.07*1.05</f>
        <v>22061.046000000002</v>
      </c>
      <c r="K31" s="32">
        <f t="shared" si="1"/>
        <v>26032.03428</v>
      </c>
    </row>
    <row r="32" spans="1:11" ht="30">
      <c r="A32" s="28" t="s">
        <v>51</v>
      </c>
      <c r="B32" s="29">
        <v>1.6</v>
      </c>
      <c r="C32" s="30" t="s">
        <v>52</v>
      </c>
      <c r="D32" s="31">
        <f>4835*0.95*1.07*1.05*1.05</f>
        <v>5418.5421937500005</v>
      </c>
      <c r="E32" s="32">
        <f t="shared" si="0"/>
        <v>6393.879788625</v>
      </c>
      <c r="F32" s="27"/>
      <c r="G32" s="24" t="s">
        <v>53</v>
      </c>
      <c r="H32" s="24"/>
      <c r="I32" s="36"/>
      <c r="J32" s="37"/>
      <c r="K32" s="37"/>
    </row>
    <row r="33" spans="1:11" ht="30">
      <c r="A33" s="28" t="s">
        <v>54</v>
      </c>
      <c r="B33" s="29">
        <v>1.49</v>
      </c>
      <c r="C33" s="30" t="s">
        <v>55</v>
      </c>
      <c r="D33" s="31">
        <f>4561*0.95*1.07*1.05*1.05</f>
        <v>5111.47279125</v>
      </c>
      <c r="E33" s="32">
        <f t="shared" si="0"/>
        <v>6031.537893675</v>
      </c>
      <c r="F33" s="27"/>
      <c r="G33" s="28" t="s">
        <v>56</v>
      </c>
      <c r="H33" s="29">
        <v>2.19</v>
      </c>
      <c r="I33" s="30" t="s">
        <v>57</v>
      </c>
      <c r="J33" s="31">
        <f>19314*0.95*1.07*1.05</f>
        <v>20614.31505</v>
      </c>
      <c r="K33" s="32">
        <f>J33*1.18</f>
        <v>24324.891759</v>
      </c>
    </row>
    <row r="34" spans="1:11" ht="30">
      <c r="A34" s="28" t="s">
        <v>58</v>
      </c>
      <c r="B34" s="29">
        <v>1.47</v>
      </c>
      <c r="C34" s="35">
        <v>1.08</v>
      </c>
      <c r="D34" s="31">
        <f>4494*0.95*1.07*1.05*1.05</f>
        <v>5036.386477500001</v>
      </c>
      <c r="E34" s="32">
        <f t="shared" si="0"/>
        <v>5942.936043450001</v>
      </c>
      <c r="F34" s="27"/>
      <c r="G34" s="28" t="s">
        <v>59</v>
      </c>
      <c r="H34" s="29">
        <v>3.28</v>
      </c>
      <c r="I34" s="30" t="s">
        <v>60</v>
      </c>
      <c r="J34" s="31">
        <f>29120*0.95*1.07*1.05</f>
        <v>31080.504000000004</v>
      </c>
      <c r="K34" s="32">
        <f>J34*1.18</f>
        <v>36674.99472</v>
      </c>
    </row>
    <row r="35" spans="1:11" ht="30">
      <c r="A35" s="28" t="s">
        <v>61</v>
      </c>
      <c r="B35" s="29">
        <v>1.5</v>
      </c>
      <c r="C35" s="35">
        <v>1.05</v>
      </c>
      <c r="D35" s="31">
        <f>4652*0.95*1.07*1.05*1.05</f>
        <v>5213.455695</v>
      </c>
      <c r="E35" s="32">
        <f t="shared" si="0"/>
        <v>6151.877720099999</v>
      </c>
      <c r="F35" s="27"/>
      <c r="G35" s="38" t="s">
        <v>62</v>
      </c>
      <c r="H35" s="38"/>
      <c r="I35" s="39"/>
      <c r="J35" s="40"/>
      <c r="K35" s="41"/>
    </row>
    <row r="36" spans="1:11" ht="30">
      <c r="A36" s="28" t="s">
        <v>63</v>
      </c>
      <c r="B36" s="29">
        <v>1.5</v>
      </c>
      <c r="C36" s="35">
        <v>1.03</v>
      </c>
      <c r="D36" s="31">
        <f>4148*0.95*1.07*1.05*1.05</f>
        <v>4648.627305000001</v>
      </c>
      <c r="E36" s="32">
        <f t="shared" si="0"/>
        <v>5485.380219900001</v>
      </c>
      <c r="F36" s="27"/>
      <c r="G36" s="28" t="s">
        <v>64</v>
      </c>
      <c r="H36" s="29">
        <v>0.8</v>
      </c>
      <c r="I36" s="30" t="s">
        <v>65</v>
      </c>
      <c r="J36" s="31">
        <f>5227*0.95*1.07*1.05</f>
        <v>5578.907775000001</v>
      </c>
      <c r="K36" s="32">
        <f>J36*1.18</f>
        <v>6583.111174500001</v>
      </c>
    </row>
    <row r="37" spans="1:11" ht="30">
      <c r="A37" s="28" t="s">
        <v>66</v>
      </c>
      <c r="B37" s="29">
        <v>1.35</v>
      </c>
      <c r="C37" s="35">
        <v>0.98</v>
      </c>
      <c r="D37" s="31">
        <f>4104*0.95*1.07*1.05*1.05</f>
        <v>4599.31689</v>
      </c>
      <c r="E37" s="32">
        <f t="shared" si="0"/>
        <v>5427.1939302</v>
      </c>
      <c r="F37" s="27"/>
      <c r="G37" s="28" t="s">
        <v>67</v>
      </c>
      <c r="H37" s="29">
        <v>0.7</v>
      </c>
      <c r="I37" s="30" t="s">
        <v>68</v>
      </c>
      <c r="J37" s="31">
        <f>4069*0.95*1.07*1.05</f>
        <v>4342.945425</v>
      </c>
      <c r="K37" s="32">
        <f>J37*1.18</f>
        <v>5124.675601499999</v>
      </c>
    </row>
    <row r="38" spans="1:11" ht="30">
      <c r="A38" s="28" t="s">
        <v>69</v>
      </c>
      <c r="B38" s="29">
        <v>1.3</v>
      </c>
      <c r="C38" s="35">
        <v>0.95</v>
      </c>
      <c r="D38" s="31">
        <f>4018*0.95*1.07*1.05*1.05</f>
        <v>4502.9374425</v>
      </c>
      <c r="E38" s="32">
        <f t="shared" si="0"/>
        <v>5313.466182149999</v>
      </c>
      <c r="F38" s="27"/>
      <c r="G38" s="28" t="s">
        <v>70</v>
      </c>
      <c r="H38" s="29">
        <v>0.6</v>
      </c>
      <c r="I38" s="30" t="s">
        <v>71</v>
      </c>
      <c r="J38" s="31">
        <f>3415*0.95*1.07*1.05</f>
        <v>3644.9148750000004</v>
      </c>
      <c r="K38" s="32">
        <f>J38*1.18</f>
        <v>4300.9995525</v>
      </c>
    </row>
    <row r="39" spans="1:11" ht="30">
      <c r="A39" s="28" t="s">
        <v>72</v>
      </c>
      <c r="B39" s="29">
        <v>1.3</v>
      </c>
      <c r="C39" s="30" t="s">
        <v>42</v>
      </c>
      <c r="D39" s="31">
        <f>3958*0.95*1.07*1.05*1.05</f>
        <v>4435.6959675</v>
      </c>
      <c r="E39" s="32">
        <f t="shared" si="0"/>
        <v>5234.121241649999</v>
      </c>
      <c r="F39" s="27"/>
      <c r="G39" s="28" t="s">
        <v>73</v>
      </c>
      <c r="H39" s="29">
        <v>0.5</v>
      </c>
      <c r="I39" s="30" t="s">
        <v>74</v>
      </c>
      <c r="J39" s="31">
        <f>2976*0.95*1.07*1.05</f>
        <v>3176.3592</v>
      </c>
      <c r="K39" s="32">
        <f>J39*1.18</f>
        <v>3748.1038559999997</v>
      </c>
    </row>
    <row r="40" spans="1:11" ht="30">
      <c r="A40" s="28" t="s">
        <v>75</v>
      </c>
      <c r="B40" s="42">
        <v>1.25</v>
      </c>
      <c r="C40" s="43">
        <v>0.9</v>
      </c>
      <c r="D40" s="31">
        <f>3715*0.95*1.07*1.05*1.05</f>
        <v>4163.36799375</v>
      </c>
      <c r="E40" s="32">
        <f t="shared" si="0"/>
        <v>4912.774232625</v>
      </c>
      <c r="F40" s="27"/>
      <c r="G40" s="28" t="s">
        <v>76</v>
      </c>
      <c r="H40" s="29">
        <v>0.4</v>
      </c>
      <c r="I40" s="30" t="s">
        <v>77</v>
      </c>
      <c r="J40" s="31">
        <f>2266*0.95*1.07*1.05</f>
        <v>2418.5584500000004</v>
      </c>
      <c r="K40" s="32">
        <f>J40*1.18</f>
        <v>2853.8989710000005</v>
      </c>
    </row>
    <row r="41" spans="1:11" ht="30">
      <c r="A41" s="28" t="s">
        <v>78</v>
      </c>
      <c r="B41" s="42">
        <v>1.25</v>
      </c>
      <c r="C41" s="43">
        <v>0.88</v>
      </c>
      <c r="D41" s="31">
        <f>3677*0.95*1.07*1.05*1.05</f>
        <v>4120.78172625</v>
      </c>
      <c r="E41" s="32">
        <f t="shared" si="0"/>
        <v>4862.522436975</v>
      </c>
      <c r="F41" s="27"/>
      <c r="G41" s="44" t="s">
        <v>79</v>
      </c>
      <c r="H41" s="44"/>
      <c r="I41" s="45"/>
      <c r="J41" s="26"/>
      <c r="K41" s="26"/>
    </row>
    <row r="42" spans="1:11" ht="30">
      <c r="A42" s="28" t="s">
        <v>80</v>
      </c>
      <c r="B42" s="42">
        <v>1.2</v>
      </c>
      <c r="C42" s="43">
        <v>0.86</v>
      </c>
      <c r="D42" s="31">
        <f>3575*0.95*1.07*1.05*1.05</f>
        <v>4006.4712187500004</v>
      </c>
      <c r="E42" s="32">
        <f t="shared" si="0"/>
        <v>4727.636038125001</v>
      </c>
      <c r="F42" s="27"/>
      <c r="G42" s="28" t="s">
        <v>81</v>
      </c>
      <c r="H42" s="29">
        <v>0.97</v>
      </c>
      <c r="I42" s="30">
        <v>0.406</v>
      </c>
      <c r="J42" s="46">
        <f>1340*0.95*1.07*1.05</f>
        <v>1430.2155000000002</v>
      </c>
      <c r="K42" s="32">
        <f aca="true" t="shared" si="2" ref="K42:K57">J42*1.18</f>
        <v>1687.6542900000002</v>
      </c>
    </row>
    <row r="43" spans="1:11" ht="30">
      <c r="A43" s="28" t="s">
        <v>82</v>
      </c>
      <c r="B43" s="42">
        <v>1.2</v>
      </c>
      <c r="C43" s="43" t="s">
        <v>83</v>
      </c>
      <c r="D43" s="31">
        <f>3493*0.95*1.07*1.05*1.05</f>
        <v>3914.5745362500006</v>
      </c>
      <c r="E43" s="32">
        <f t="shared" si="0"/>
        <v>4619.197952775001</v>
      </c>
      <c r="F43" s="27"/>
      <c r="G43" s="28" t="s">
        <v>84</v>
      </c>
      <c r="H43" s="29">
        <v>1.3</v>
      </c>
      <c r="I43" s="30">
        <v>0.543</v>
      </c>
      <c r="J43" s="46">
        <f>1793*0.95*1.07*1.05</f>
        <v>1913.713725</v>
      </c>
      <c r="K43" s="32">
        <f t="shared" si="2"/>
        <v>2258.1821955</v>
      </c>
    </row>
    <row r="44" spans="1:11" ht="30">
      <c r="A44" s="28" t="s">
        <v>85</v>
      </c>
      <c r="B44" s="29">
        <v>1.1</v>
      </c>
      <c r="C44" s="30" t="s">
        <v>86</v>
      </c>
      <c r="D44" s="31">
        <f>3199*0.95*1.07*1.05*1.05</f>
        <v>3585.0913087500003</v>
      </c>
      <c r="E44" s="32">
        <f t="shared" si="0"/>
        <v>4230.407744325</v>
      </c>
      <c r="F44" s="27"/>
      <c r="G44" s="28" t="s">
        <v>87</v>
      </c>
      <c r="H44" s="29">
        <v>1.63</v>
      </c>
      <c r="I44" s="30">
        <v>0.679</v>
      </c>
      <c r="J44" s="46">
        <f>2241*0.95*1.07*1.05</f>
        <v>2391.875325</v>
      </c>
      <c r="K44" s="32">
        <f t="shared" si="2"/>
        <v>2822.4128834999997</v>
      </c>
    </row>
    <row r="45" spans="1:11" ht="30">
      <c r="A45" s="47" t="s">
        <v>88</v>
      </c>
      <c r="B45" s="48">
        <v>1</v>
      </c>
      <c r="C45" s="43" t="s">
        <v>89</v>
      </c>
      <c r="D45" s="49">
        <f>2701*0.95*1.07*1.05*1.05</f>
        <v>3026.98706625</v>
      </c>
      <c r="E45" s="32">
        <f t="shared" si="0"/>
        <v>3571.844738175</v>
      </c>
      <c r="F45" s="27"/>
      <c r="G45" s="28" t="s">
        <v>90</v>
      </c>
      <c r="H45" s="29">
        <v>1.96</v>
      </c>
      <c r="I45" s="30">
        <v>0.815</v>
      </c>
      <c r="J45" s="46">
        <f>2690*0.95*1.07*1.05</f>
        <v>2871.1042500000003</v>
      </c>
      <c r="K45" s="32">
        <f t="shared" si="2"/>
        <v>3387.9030150000003</v>
      </c>
    </row>
    <row r="46" spans="1:11" ht="30">
      <c r="A46" s="28" t="s">
        <v>91</v>
      </c>
      <c r="B46" s="29">
        <v>0.875</v>
      </c>
      <c r="C46" s="30" t="s">
        <v>92</v>
      </c>
      <c r="D46" s="49">
        <f>2536*0.95*1.07*1.05*1.05</f>
        <v>2842.0730100000005</v>
      </c>
      <c r="E46" s="32">
        <f t="shared" si="0"/>
        <v>3353.6461518000006</v>
      </c>
      <c r="F46" s="27"/>
      <c r="G46" s="28" t="s">
        <v>93</v>
      </c>
      <c r="H46" s="29">
        <v>0.47</v>
      </c>
      <c r="I46" s="30">
        <v>0.197</v>
      </c>
      <c r="J46" s="46">
        <f>671*0.95*1.07*1.05</f>
        <v>716.175075</v>
      </c>
      <c r="K46" s="32">
        <f t="shared" si="2"/>
        <v>845.0865885</v>
      </c>
    </row>
    <row r="47" spans="1:11" ht="30">
      <c r="A47" s="28" t="s">
        <v>94</v>
      </c>
      <c r="B47" s="29">
        <v>1.77</v>
      </c>
      <c r="C47" s="35">
        <v>1.3</v>
      </c>
      <c r="D47" s="31">
        <f>6136*0.95*1.07*1.05*1.05</f>
        <v>6876.561510000001</v>
      </c>
      <c r="E47" s="32">
        <f t="shared" si="0"/>
        <v>8114.342581800001</v>
      </c>
      <c r="F47" s="27"/>
      <c r="G47" s="28" t="s">
        <v>95</v>
      </c>
      <c r="H47" s="29">
        <v>0.64</v>
      </c>
      <c r="I47" s="30">
        <v>0.265</v>
      </c>
      <c r="J47" s="46">
        <f>875*0.95*1.07*1.05</f>
        <v>933.9093750000001</v>
      </c>
      <c r="K47" s="32">
        <f t="shared" si="2"/>
        <v>1102.0130625</v>
      </c>
    </row>
    <row r="48" spans="1:11" ht="30">
      <c r="A48" s="28" t="s">
        <v>96</v>
      </c>
      <c r="B48" s="29">
        <v>1.5</v>
      </c>
      <c r="C48" s="30">
        <v>1.1</v>
      </c>
      <c r="D48" s="31">
        <f>5319*0.95*1.07*1.05*1.05</f>
        <v>5960.956758750001</v>
      </c>
      <c r="E48" s="32">
        <f t="shared" si="0"/>
        <v>7033.928975325001</v>
      </c>
      <c r="F48" s="27"/>
      <c r="G48" s="28" t="s">
        <v>97</v>
      </c>
      <c r="H48" s="29">
        <v>0.79</v>
      </c>
      <c r="I48" s="30">
        <v>0.331</v>
      </c>
      <c r="J48" s="46">
        <f>1093*0.95*1.07*1.05</f>
        <v>1166.586225</v>
      </c>
      <c r="K48" s="32">
        <f t="shared" si="2"/>
        <v>1376.5717455</v>
      </c>
    </row>
    <row r="49" spans="1:11" ht="30">
      <c r="A49" s="28" t="s">
        <v>98</v>
      </c>
      <c r="B49" s="29">
        <v>1.44</v>
      </c>
      <c r="C49" s="30">
        <v>1.04</v>
      </c>
      <c r="D49" s="31">
        <f>5024*0.95*1.07*1.05*1.05</f>
        <v>5630.3528400000005</v>
      </c>
      <c r="E49" s="32">
        <f t="shared" si="0"/>
        <v>6643.8163512</v>
      </c>
      <c r="F49" s="27"/>
      <c r="G49" s="28" t="s">
        <v>99</v>
      </c>
      <c r="H49" s="29">
        <v>0.96</v>
      </c>
      <c r="I49" s="30">
        <v>0.398</v>
      </c>
      <c r="J49" s="46">
        <f>1314*0.95*1.07*1.05</f>
        <v>1402.46505</v>
      </c>
      <c r="K49" s="32">
        <f t="shared" si="2"/>
        <v>1654.908759</v>
      </c>
    </row>
    <row r="50" spans="1:11" ht="30">
      <c r="A50" s="28" t="s">
        <v>100</v>
      </c>
      <c r="B50" s="29">
        <v>1.225</v>
      </c>
      <c r="C50" s="35">
        <v>0.91</v>
      </c>
      <c r="D50" s="31">
        <f>4561*0.95*1.07*1.05*1.05</f>
        <v>5111.47279125</v>
      </c>
      <c r="E50" s="32">
        <f t="shared" si="0"/>
        <v>6031.537893675</v>
      </c>
      <c r="F50" s="27"/>
      <c r="G50" s="28" t="s">
        <v>101</v>
      </c>
      <c r="H50" s="29">
        <v>0.35</v>
      </c>
      <c r="I50" s="30">
        <v>0.146</v>
      </c>
      <c r="J50" s="46">
        <f>482*0.95*1.07*1.05</f>
        <v>514.4506500000001</v>
      </c>
      <c r="K50" s="32">
        <f t="shared" si="2"/>
        <v>607.051767</v>
      </c>
    </row>
    <row r="51" spans="1:11" ht="30">
      <c r="A51" s="28" t="s">
        <v>102</v>
      </c>
      <c r="B51" s="29">
        <v>1.075</v>
      </c>
      <c r="C51" s="35">
        <v>0.78</v>
      </c>
      <c r="D51" s="31">
        <f>3958*0.95*1.07*1.05*1.05</f>
        <v>4435.6959675</v>
      </c>
      <c r="E51" s="32">
        <f t="shared" si="0"/>
        <v>5234.121241649999</v>
      </c>
      <c r="F51" s="27"/>
      <c r="G51" s="28" t="s">
        <v>103</v>
      </c>
      <c r="H51" s="29">
        <v>0.47</v>
      </c>
      <c r="I51" s="30">
        <v>0.195</v>
      </c>
      <c r="J51" s="46">
        <f>644*0.95*1.07*1.05</f>
        <v>687.3573</v>
      </c>
      <c r="K51" s="32">
        <f t="shared" si="2"/>
        <v>811.081614</v>
      </c>
    </row>
    <row r="52" spans="1:11" ht="30">
      <c r="A52" s="28" t="s">
        <v>104</v>
      </c>
      <c r="B52" s="29">
        <v>0.9</v>
      </c>
      <c r="C52" s="35">
        <v>0.65</v>
      </c>
      <c r="D52" s="31">
        <f>3199*0.95*1.07*1.05*1.05</f>
        <v>3585.0913087500003</v>
      </c>
      <c r="E52" s="32">
        <f t="shared" si="0"/>
        <v>4230.407744325</v>
      </c>
      <c r="F52" s="27"/>
      <c r="G52" s="28" t="s">
        <v>105</v>
      </c>
      <c r="H52" s="29">
        <v>0.59</v>
      </c>
      <c r="I52" s="30">
        <v>0.244</v>
      </c>
      <c r="J52" s="46">
        <f>806*0.95*1.07*1.05</f>
        <v>860.26395</v>
      </c>
      <c r="K52" s="32">
        <f t="shared" si="2"/>
        <v>1015.111461</v>
      </c>
    </row>
    <row r="53" spans="1:11" ht="30">
      <c r="A53" s="28" t="s">
        <v>106</v>
      </c>
      <c r="B53" s="29">
        <v>0.85</v>
      </c>
      <c r="C53" s="35">
        <v>0.61</v>
      </c>
      <c r="D53" s="50">
        <f>2617*1.07*1.05*1.05</f>
        <v>3087.209475</v>
      </c>
      <c r="E53" s="32">
        <f t="shared" si="0"/>
        <v>3642.9071805</v>
      </c>
      <c r="F53" s="27"/>
      <c r="G53" s="28" t="s">
        <v>107</v>
      </c>
      <c r="H53" s="29">
        <v>0.7</v>
      </c>
      <c r="I53" s="30">
        <v>0.293</v>
      </c>
      <c r="J53" s="46">
        <f>968*0.95*1.07*1.05</f>
        <v>1033.1706</v>
      </c>
      <c r="K53" s="32">
        <f t="shared" si="2"/>
        <v>1219.1413079999998</v>
      </c>
    </row>
    <row r="54" spans="1:11" ht="30">
      <c r="A54" s="28" t="s">
        <v>108</v>
      </c>
      <c r="B54" s="29">
        <v>0.75</v>
      </c>
      <c r="C54" s="30">
        <v>0.52</v>
      </c>
      <c r="D54" s="31">
        <f>2536*0.95*1.07*1.05*1.05</f>
        <v>2842.0730100000005</v>
      </c>
      <c r="E54" s="32">
        <f t="shared" si="0"/>
        <v>3353.6461518000006</v>
      </c>
      <c r="F54" s="27"/>
      <c r="G54" s="28" t="s">
        <v>109</v>
      </c>
      <c r="H54" s="29">
        <v>0.24</v>
      </c>
      <c r="I54" s="30">
        <v>0.1</v>
      </c>
      <c r="J54" s="46">
        <f>331*0.95*1.07*1.05</f>
        <v>353.284575</v>
      </c>
      <c r="K54" s="32">
        <f t="shared" si="2"/>
        <v>416.8757985</v>
      </c>
    </row>
    <row r="55" spans="1:11" ht="30">
      <c r="A55" s="27"/>
      <c r="B55" s="27"/>
      <c r="C55" s="27"/>
      <c r="D55" s="27"/>
      <c r="E55" s="27"/>
      <c r="F55" s="27"/>
      <c r="G55" s="28" t="s">
        <v>110</v>
      </c>
      <c r="H55" s="29">
        <v>0.324</v>
      </c>
      <c r="I55" s="30">
        <v>0.135</v>
      </c>
      <c r="J55" s="46">
        <f>446*0.95*1.07*1.05</f>
        <v>476.02695000000006</v>
      </c>
      <c r="K55" s="32">
        <f t="shared" si="2"/>
        <v>561.711801</v>
      </c>
    </row>
    <row r="56" spans="1:11" ht="30">
      <c r="A56" s="24" t="s">
        <v>111</v>
      </c>
      <c r="B56" s="24"/>
      <c r="C56" s="36"/>
      <c r="D56" s="37"/>
      <c r="E56" s="26"/>
      <c r="F56" s="27"/>
      <c r="G56" s="28" t="s">
        <v>112</v>
      </c>
      <c r="H56" s="29">
        <v>0.398</v>
      </c>
      <c r="I56" s="30">
        <v>0.166</v>
      </c>
      <c r="J56" s="46">
        <f>547*0.95*1.07*1.05</f>
        <v>583.826775</v>
      </c>
      <c r="K56" s="32">
        <f t="shared" si="2"/>
        <v>688.9155945</v>
      </c>
    </row>
    <row r="57" spans="1:11" ht="30">
      <c r="A57" s="28" t="s">
        <v>113</v>
      </c>
      <c r="B57" s="51">
        <v>0.025</v>
      </c>
      <c r="C57" s="30">
        <v>0.01</v>
      </c>
      <c r="D57" s="31">
        <f>281*1.07*1.05</f>
        <v>315.7035</v>
      </c>
      <c r="E57" s="32">
        <f aca="true" t="shared" si="3" ref="E57:E72">D57*1.18</f>
        <v>372.53013</v>
      </c>
      <c r="F57" s="27"/>
      <c r="G57" s="28" t="s">
        <v>114</v>
      </c>
      <c r="H57" s="29">
        <v>0.485</v>
      </c>
      <c r="I57" s="30">
        <v>0.202</v>
      </c>
      <c r="J57" s="46">
        <f>666*0.95*1.07*1.05</f>
        <v>710.83845</v>
      </c>
      <c r="K57" s="32">
        <f t="shared" si="2"/>
        <v>838.789371</v>
      </c>
    </row>
    <row r="58" spans="1:11" ht="30">
      <c r="A58" s="28" t="s">
        <v>115</v>
      </c>
      <c r="B58" s="51">
        <v>0.065</v>
      </c>
      <c r="C58" s="30">
        <v>0.026</v>
      </c>
      <c r="D58" s="31">
        <f>480*1.07*1.05</f>
        <v>539.2800000000001</v>
      </c>
      <c r="E58" s="32">
        <f t="shared" si="3"/>
        <v>636.3504</v>
      </c>
      <c r="F58" s="27"/>
      <c r="G58" s="52" t="s">
        <v>116</v>
      </c>
      <c r="H58" s="52"/>
      <c r="I58" s="53"/>
      <c r="J58" s="26"/>
      <c r="K58" s="41"/>
    </row>
    <row r="59" spans="1:11" ht="30">
      <c r="A59" s="28" t="s">
        <v>117</v>
      </c>
      <c r="B59" s="29">
        <v>0.08</v>
      </c>
      <c r="C59" s="30">
        <v>0.033</v>
      </c>
      <c r="D59" s="31">
        <f>618*1.07*1.05</f>
        <v>694.323</v>
      </c>
      <c r="E59" s="32">
        <f t="shared" si="3"/>
        <v>819.3011399999999</v>
      </c>
      <c r="F59" s="27"/>
      <c r="G59" s="28" t="s">
        <v>118</v>
      </c>
      <c r="H59" s="54">
        <v>1.9</v>
      </c>
      <c r="I59" s="55" t="s">
        <v>119</v>
      </c>
      <c r="J59" s="31">
        <f>5618*1.07*1.05</f>
        <v>6311.823</v>
      </c>
      <c r="K59" s="32">
        <f>J59*1.18</f>
        <v>7447.95114</v>
      </c>
    </row>
    <row r="60" spans="1:11" ht="30">
      <c r="A60" s="28" t="s">
        <v>120</v>
      </c>
      <c r="B60" s="29">
        <v>0.1</v>
      </c>
      <c r="C60" s="30">
        <v>0.041</v>
      </c>
      <c r="D60" s="31">
        <f>789*1.07*1.05</f>
        <v>886.4415</v>
      </c>
      <c r="E60" s="32">
        <f t="shared" si="3"/>
        <v>1046.00097</v>
      </c>
      <c r="F60" s="27"/>
      <c r="G60" s="28" t="s">
        <v>121</v>
      </c>
      <c r="H60" s="54">
        <v>4.3</v>
      </c>
      <c r="I60" s="55" t="s">
        <v>122</v>
      </c>
      <c r="J60" s="31">
        <f>11624*1.07*1.05</f>
        <v>13059.564</v>
      </c>
      <c r="K60" s="32">
        <f>J60*1.18</f>
        <v>15410.28552</v>
      </c>
    </row>
    <row r="61" spans="1:11" ht="30">
      <c r="A61" s="28" t="s">
        <v>123</v>
      </c>
      <c r="B61" s="29">
        <v>0.11</v>
      </c>
      <c r="C61" s="30">
        <v>0.044</v>
      </c>
      <c r="D61" s="31">
        <f>806*1.07*1.05</f>
        <v>905.5410000000002</v>
      </c>
      <c r="E61" s="32">
        <f t="shared" si="3"/>
        <v>1068.5383800000002</v>
      </c>
      <c r="F61" s="27"/>
      <c r="G61" s="28" t="s">
        <v>124</v>
      </c>
      <c r="H61" s="54">
        <v>2.1</v>
      </c>
      <c r="I61" s="55" t="s">
        <v>83</v>
      </c>
      <c r="J61" s="56">
        <f>5194*1.07*1.05</f>
        <v>5835.459</v>
      </c>
      <c r="K61" s="32">
        <f>J61*1.18</f>
        <v>6885.841619999999</v>
      </c>
    </row>
    <row r="62" spans="1:11" ht="30">
      <c r="A62" s="28" t="s">
        <v>125</v>
      </c>
      <c r="B62" s="29">
        <v>0.085</v>
      </c>
      <c r="C62" s="30">
        <v>0.034</v>
      </c>
      <c r="D62" s="31">
        <f>578*1.07*1.05</f>
        <v>649.383</v>
      </c>
      <c r="E62" s="32">
        <f t="shared" si="3"/>
        <v>766.27194</v>
      </c>
      <c r="F62" s="27"/>
      <c r="G62" s="28" t="s">
        <v>126</v>
      </c>
      <c r="H62" s="54">
        <v>4.5</v>
      </c>
      <c r="I62" s="55" t="s">
        <v>127</v>
      </c>
      <c r="J62" s="31">
        <f>11462*1.07*1.05</f>
        <v>12877.557</v>
      </c>
      <c r="K62" s="32">
        <f>J62*1.18</f>
        <v>15195.51726</v>
      </c>
    </row>
    <row r="63" spans="1:11" ht="30">
      <c r="A63" s="28" t="s">
        <v>128</v>
      </c>
      <c r="B63" s="29">
        <f>100/1000</f>
        <v>0.1</v>
      </c>
      <c r="C63" s="30">
        <v>0.041</v>
      </c>
      <c r="D63" s="31">
        <f>754*1.07*1.05</f>
        <v>847.1190000000001</v>
      </c>
      <c r="E63" s="32">
        <f t="shared" si="3"/>
        <v>999.6004200000001</v>
      </c>
      <c r="F63" s="27"/>
      <c r="G63" s="28" t="s">
        <v>129</v>
      </c>
      <c r="H63" s="54">
        <v>5.8</v>
      </c>
      <c r="I63" s="55" t="s">
        <v>130</v>
      </c>
      <c r="J63" s="31">
        <f>14891*1.07*1.05</f>
        <v>16730.038500000002</v>
      </c>
      <c r="K63" s="57">
        <f>J63*1.18</f>
        <v>19741.445430000003</v>
      </c>
    </row>
    <row r="64" spans="1:11" ht="30">
      <c r="A64" s="28" t="s">
        <v>131</v>
      </c>
      <c r="B64" s="29">
        <v>0.12</v>
      </c>
      <c r="C64" s="30">
        <v>0.048</v>
      </c>
      <c r="D64" s="31">
        <f>837*1.07*1.05</f>
        <v>940.3695</v>
      </c>
      <c r="E64" s="32">
        <f t="shared" si="3"/>
        <v>1109.63601</v>
      </c>
      <c r="F64" s="27"/>
      <c r="G64" s="52" t="s">
        <v>132</v>
      </c>
      <c r="H64" s="52"/>
      <c r="I64" s="39"/>
      <c r="J64" s="26"/>
      <c r="K64" s="142" t="s">
        <v>406</v>
      </c>
    </row>
    <row r="65" spans="1:11" ht="30">
      <c r="A65" s="28" t="s">
        <v>133</v>
      </c>
      <c r="B65" s="29">
        <v>0.13</v>
      </c>
      <c r="C65" s="30">
        <v>0.055</v>
      </c>
      <c r="D65" s="31">
        <f>927*1.07*1.05</f>
        <v>1041.4845000000003</v>
      </c>
      <c r="E65" s="32">
        <f t="shared" si="3"/>
        <v>1228.9517100000003</v>
      </c>
      <c r="F65" s="27"/>
      <c r="G65" s="28" t="s">
        <v>134</v>
      </c>
      <c r="H65" s="29">
        <v>7.4</v>
      </c>
      <c r="I65" s="30" t="s">
        <v>135</v>
      </c>
      <c r="J65" s="143"/>
      <c r="K65" s="139" t="s">
        <v>181</v>
      </c>
    </row>
    <row r="66" spans="1:11" ht="30">
      <c r="A66" s="28" t="s">
        <v>136</v>
      </c>
      <c r="B66" s="29">
        <v>0.16</v>
      </c>
      <c r="C66" s="30">
        <v>0.065</v>
      </c>
      <c r="D66" s="31">
        <f>1066*1.07*1.05</f>
        <v>1197.651</v>
      </c>
      <c r="E66" s="32">
        <f t="shared" si="3"/>
        <v>1413.22818</v>
      </c>
      <c r="F66" s="27"/>
      <c r="G66" s="28" t="s">
        <v>137</v>
      </c>
      <c r="H66" s="29">
        <v>7.4</v>
      </c>
      <c r="I66" s="30" t="s">
        <v>135</v>
      </c>
      <c r="J66" s="138"/>
      <c r="K66" s="139" t="s">
        <v>181</v>
      </c>
    </row>
    <row r="67" spans="1:11" ht="30">
      <c r="A67" s="28" t="s">
        <v>138</v>
      </c>
      <c r="B67" s="29">
        <v>0.18</v>
      </c>
      <c r="C67" s="30">
        <v>0.072</v>
      </c>
      <c r="D67" s="31">
        <f>1209*1.07*1.05</f>
        <v>1358.3115000000003</v>
      </c>
      <c r="E67" s="32">
        <f t="shared" si="3"/>
        <v>1602.8075700000002</v>
      </c>
      <c r="F67" s="27"/>
      <c r="G67" s="28" t="s">
        <v>139</v>
      </c>
      <c r="H67" s="29">
        <v>7.4</v>
      </c>
      <c r="I67" s="30" t="s">
        <v>135</v>
      </c>
      <c r="J67" s="138"/>
      <c r="K67" s="139" t="s">
        <v>181</v>
      </c>
    </row>
    <row r="68" spans="1:11" ht="30">
      <c r="A68" s="28" t="s">
        <v>140</v>
      </c>
      <c r="B68" s="29">
        <v>0.23</v>
      </c>
      <c r="C68" s="30">
        <v>0.089</v>
      </c>
      <c r="D68" s="31">
        <f>1394*1.07*1.05</f>
        <v>1566.1590000000003</v>
      </c>
      <c r="E68" s="32">
        <f t="shared" si="3"/>
        <v>1848.0676200000003</v>
      </c>
      <c r="F68" s="27"/>
      <c r="G68" s="24" t="s">
        <v>141</v>
      </c>
      <c r="H68" s="24"/>
      <c r="I68" s="25"/>
      <c r="J68" s="26"/>
      <c r="K68" s="142" t="s">
        <v>406</v>
      </c>
    </row>
    <row r="69" spans="1:11" ht="30">
      <c r="A69" s="28" t="s">
        <v>142</v>
      </c>
      <c r="B69" s="29">
        <v>0.285</v>
      </c>
      <c r="C69" s="30">
        <v>0.114</v>
      </c>
      <c r="D69" s="31">
        <f>1683*1.07*1.05</f>
        <v>1890.8505000000002</v>
      </c>
      <c r="E69" s="32">
        <f t="shared" si="3"/>
        <v>2231.20359</v>
      </c>
      <c r="F69" s="27"/>
      <c r="G69" s="28" t="s">
        <v>143</v>
      </c>
      <c r="H69" s="29">
        <v>2.65</v>
      </c>
      <c r="I69" s="30" t="s">
        <v>144</v>
      </c>
      <c r="J69" s="138"/>
      <c r="K69" s="139" t="s">
        <v>181</v>
      </c>
    </row>
    <row r="70" spans="1:11" ht="30">
      <c r="A70" s="28" t="s">
        <v>145</v>
      </c>
      <c r="B70" s="29">
        <v>0.34</v>
      </c>
      <c r="C70" s="30">
        <v>0.135</v>
      </c>
      <c r="D70" s="31">
        <f>2382*1.07*1.05</f>
        <v>2676.177</v>
      </c>
      <c r="E70" s="32">
        <f t="shared" si="3"/>
        <v>3157.88886</v>
      </c>
      <c r="F70" s="27"/>
      <c r="G70" s="28" t="s">
        <v>146</v>
      </c>
      <c r="H70" s="29">
        <v>2.65</v>
      </c>
      <c r="I70" s="30" t="s">
        <v>144</v>
      </c>
      <c r="J70" s="138"/>
      <c r="K70" s="139" t="s">
        <v>181</v>
      </c>
    </row>
    <row r="71" spans="1:11" ht="30">
      <c r="A71" s="28" t="s">
        <v>147</v>
      </c>
      <c r="B71" s="29">
        <v>0.38</v>
      </c>
      <c r="C71" s="30">
        <v>0.15</v>
      </c>
      <c r="D71" s="31">
        <f>2817*1.07*1.05</f>
        <v>3164.8995</v>
      </c>
      <c r="E71" s="32">
        <f t="shared" si="3"/>
        <v>3734.58141</v>
      </c>
      <c r="F71" s="27"/>
      <c r="G71" s="28" t="s">
        <v>148</v>
      </c>
      <c r="H71" s="29">
        <v>2.65</v>
      </c>
      <c r="I71" s="30" t="s">
        <v>144</v>
      </c>
      <c r="J71" s="138"/>
      <c r="K71" s="139" t="s">
        <v>181</v>
      </c>
    </row>
    <row r="72" spans="1:11" ht="30">
      <c r="A72" s="28" t="s">
        <v>149</v>
      </c>
      <c r="B72" s="29">
        <v>0.41</v>
      </c>
      <c r="C72" s="30">
        <v>0.164</v>
      </c>
      <c r="D72" s="31">
        <f>3218*1.07*1.05</f>
        <v>3615.4230000000002</v>
      </c>
      <c r="E72" s="32">
        <f t="shared" si="3"/>
        <v>4266.19914</v>
      </c>
      <c r="F72" s="27"/>
      <c r="G72" s="28" t="s">
        <v>150</v>
      </c>
      <c r="H72" s="29">
        <v>2.65</v>
      </c>
      <c r="I72" s="30" t="s">
        <v>144</v>
      </c>
      <c r="J72" s="138"/>
      <c r="K72" s="139" t="s">
        <v>181</v>
      </c>
    </row>
    <row r="73" spans="1:11" ht="30">
      <c r="A73" s="27"/>
      <c r="B73" s="27"/>
      <c r="C73" s="27"/>
      <c r="D73" s="27"/>
      <c r="E73" s="27"/>
      <c r="F73" s="27"/>
      <c r="G73" s="24" t="s">
        <v>151</v>
      </c>
      <c r="H73" s="24"/>
      <c r="I73" s="25"/>
      <c r="J73" s="26"/>
      <c r="K73" s="26"/>
    </row>
    <row r="74" spans="1:11" ht="30">
      <c r="A74" s="24" t="s">
        <v>152</v>
      </c>
      <c r="B74" s="24"/>
      <c r="C74" s="25"/>
      <c r="D74" s="26"/>
      <c r="E74" s="142" t="s">
        <v>406</v>
      </c>
      <c r="F74" s="27"/>
      <c r="G74" s="28" t="s">
        <v>153</v>
      </c>
      <c r="H74" s="29">
        <v>0.25</v>
      </c>
      <c r="I74" s="30" t="s">
        <v>154</v>
      </c>
      <c r="J74" s="31">
        <f>1313*1.07*1.05</f>
        <v>1475.1555</v>
      </c>
      <c r="K74" s="32">
        <f>J74*1.18</f>
        <v>1740.68349</v>
      </c>
    </row>
    <row r="75" spans="1:11" ht="30">
      <c r="A75" s="28" t="s">
        <v>155</v>
      </c>
      <c r="B75" s="29">
        <v>5.1</v>
      </c>
      <c r="C75" s="30" t="s">
        <v>156</v>
      </c>
      <c r="D75" s="144"/>
      <c r="E75" s="141" t="s">
        <v>181</v>
      </c>
      <c r="F75" s="27"/>
      <c r="G75" s="28" t="s">
        <v>157</v>
      </c>
      <c r="H75" s="29">
        <v>0.68</v>
      </c>
      <c r="I75" s="30" t="s">
        <v>68</v>
      </c>
      <c r="J75" s="31">
        <f>3538*1.07*1.05</f>
        <v>3974.9430000000007</v>
      </c>
      <c r="K75" s="32">
        <f>J75*1.18</f>
        <v>4690.43274</v>
      </c>
    </row>
    <row r="76" spans="1:11" ht="30">
      <c r="A76" s="28" t="s">
        <v>158</v>
      </c>
      <c r="B76" s="29">
        <v>5.1</v>
      </c>
      <c r="C76" s="30" t="s">
        <v>156</v>
      </c>
      <c r="D76" s="140"/>
      <c r="E76" s="141" t="s">
        <v>181</v>
      </c>
      <c r="F76" s="27"/>
      <c r="G76" s="58" t="s">
        <v>159</v>
      </c>
      <c r="H76" s="58"/>
      <c r="I76" s="59"/>
      <c r="J76" s="26"/>
      <c r="K76" s="26"/>
    </row>
    <row r="77" spans="1:11" ht="30">
      <c r="A77" s="28" t="s">
        <v>160</v>
      </c>
      <c r="B77" s="29">
        <v>5.1</v>
      </c>
      <c r="C77" s="30" t="s">
        <v>156</v>
      </c>
      <c r="D77" s="140"/>
      <c r="E77" s="141" t="s">
        <v>181</v>
      </c>
      <c r="F77" s="27"/>
      <c r="G77" s="28" t="s">
        <v>161</v>
      </c>
      <c r="H77" s="29">
        <v>1.33</v>
      </c>
      <c r="I77" s="30" t="s">
        <v>162</v>
      </c>
      <c r="J77" s="31">
        <f>6299*0.95*1.07*1.05</f>
        <v>6723.080174999999</v>
      </c>
      <c r="K77" s="32">
        <f>J77*1.18</f>
        <v>7933.234606499998</v>
      </c>
    </row>
    <row r="78" spans="1:11" ht="30">
      <c r="A78" s="24" t="s">
        <v>163</v>
      </c>
      <c r="B78" s="24"/>
      <c r="C78" s="25"/>
      <c r="D78" s="26"/>
      <c r="E78" s="142" t="s">
        <v>406</v>
      </c>
      <c r="F78" s="27"/>
      <c r="G78" s="60" t="s">
        <v>164</v>
      </c>
      <c r="H78" s="42">
        <v>2.2</v>
      </c>
      <c r="I78" s="43" t="s">
        <v>165</v>
      </c>
      <c r="J78" s="31">
        <f>13858*0.95*1.07*1.05</f>
        <v>14790.98985</v>
      </c>
      <c r="K78" s="32">
        <f>J78*1.18</f>
        <v>17453.368023</v>
      </c>
    </row>
    <row r="79" spans="1:11" ht="30">
      <c r="A79" s="28" t="s">
        <v>166</v>
      </c>
      <c r="B79" s="29">
        <v>1.5</v>
      </c>
      <c r="C79" s="30" t="s">
        <v>167</v>
      </c>
      <c r="D79" s="140"/>
      <c r="E79" s="141" t="s">
        <v>181</v>
      </c>
      <c r="F79" s="27"/>
      <c r="G79" s="28" t="s">
        <v>168</v>
      </c>
      <c r="H79" s="29">
        <v>2.4</v>
      </c>
      <c r="I79" s="30" t="s">
        <v>169</v>
      </c>
      <c r="J79" s="31">
        <f>14634*0.95*1.07*1.05</f>
        <v>15619.23405</v>
      </c>
      <c r="K79" s="32">
        <f>J79*1.18</f>
        <v>18430.696179</v>
      </c>
    </row>
    <row r="80" spans="1:11" ht="30">
      <c r="A80" s="28" t="s">
        <v>170</v>
      </c>
      <c r="B80" s="29">
        <v>1.5</v>
      </c>
      <c r="C80" s="30" t="s">
        <v>167</v>
      </c>
      <c r="D80" s="140"/>
      <c r="E80" s="141" t="s">
        <v>181</v>
      </c>
      <c r="F80" s="27"/>
      <c r="G80" s="61" t="s">
        <v>171</v>
      </c>
      <c r="H80" s="62">
        <v>2.4</v>
      </c>
      <c r="I80" s="30" t="s">
        <v>169</v>
      </c>
      <c r="J80" s="31">
        <f>14802*0.95*1.07*1.05</f>
        <v>15798.544650000002</v>
      </c>
      <c r="K80" s="32">
        <f>J80*1.18</f>
        <v>18642.282687000003</v>
      </c>
    </row>
    <row r="81" spans="1:11" ht="30">
      <c r="A81" s="28" t="s">
        <v>172</v>
      </c>
      <c r="B81" s="29">
        <v>1.5</v>
      </c>
      <c r="C81" s="30" t="s">
        <v>167</v>
      </c>
      <c r="D81" s="140"/>
      <c r="E81" s="141" t="s">
        <v>181</v>
      </c>
      <c r="F81" s="27"/>
      <c r="G81" s="52" t="s">
        <v>173</v>
      </c>
      <c r="H81" s="52"/>
      <c r="I81" s="53"/>
      <c r="J81" s="26"/>
      <c r="K81" s="26"/>
    </row>
    <row r="82" spans="1:11" ht="30">
      <c r="A82" s="28" t="s">
        <v>174</v>
      </c>
      <c r="B82" s="29">
        <v>1.5</v>
      </c>
      <c r="C82" s="30" t="s">
        <v>167</v>
      </c>
      <c r="D82" s="140"/>
      <c r="E82" s="141" t="s">
        <v>181</v>
      </c>
      <c r="F82" s="27"/>
      <c r="G82" s="60" t="s">
        <v>175</v>
      </c>
      <c r="H82" s="63">
        <v>0.115</v>
      </c>
      <c r="I82" s="30" t="s">
        <v>176</v>
      </c>
      <c r="J82" s="31">
        <f>678*1.07*1.05</f>
        <v>761.7330000000001</v>
      </c>
      <c r="K82" s="32">
        <f>J82*1.18</f>
        <v>898.8449400000001</v>
      </c>
    </row>
    <row r="83" spans="1:11" ht="30">
      <c r="A83" s="24" t="s">
        <v>177</v>
      </c>
      <c r="B83" s="24"/>
      <c r="C83" s="36"/>
      <c r="D83" s="37"/>
      <c r="E83" s="142" t="s">
        <v>406</v>
      </c>
      <c r="F83" s="27"/>
      <c r="G83" s="28" t="s">
        <v>178</v>
      </c>
      <c r="H83" s="51">
        <v>0.135</v>
      </c>
      <c r="I83" s="30" t="s">
        <v>179</v>
      </c>
      <c r="J83" s="31">
        <f>772*1.07*1.05</f>
        <v>867.3420000000001</v>
      </c>
      <c r="K83" s="32">
        <f>J83*1.18</f>
        <v>1023.46356</v>
      </c>
    </row>
    <row r="84" spans="1:11" ht="30">
      <c r="A84" s="64" t="s">
        <v>180</v>
      </c>
      <c r="B84" s="65">
        <v>5.3</v>
      </c>
      <c r="C84" s="33">
        <v>1.911</v>
      </c>
      <c r="D84" s="56"/>
      <c r="E84" s="141" t="s">
        <v>181</v>
      </c>
      <c r="F84" s="27"/>
      <c r="G84" s="47" t="s">
        <v>182</v>
      </c>
      <c r="H84" s="48">
        <v>0.15</v>
      </c>
      <c r="I84" s="30" t="s">
        <v>183</v>
      </c>
      <c r="J84" s="31">
        <f>881*1.07*1.05</f>
        <v>989.8035000000001</v>
      </c>
      <c r="K84" s="32">
        <f>J84*1.18</f>
        <v>1167.96813</v>
      </c>
    </row>
    <row r="85" spans="1:11" ht="30">
      <c r="A85" s="64" t="s">
        <v>184</v>
      </c>
      <c r="B85" s="65">
        <v>4.8</v>
      </c>
      <c r="C85" s="33">
        <v>1.911</v>
      </c>
      <c r="D85" s="56"/>
      <c r="E85" s="141" t="s">
        <v>181</v>
      </c>
      <c r="F85" s="27"/>
      <c r="G85" s="28" t="s">
        <v>185</v>
      </c>
      <c r="H85" s="51">
        <v>0.165</v>
      </c>
      <c r="I85" s="30" t="s">
        <v>186</v>
      </c>
      <c r="J85" s="31">
        <f>922*1.07*1.05</f>
        <v>1035.8670000000002</v>
      </c>
      <c r="K85" s="32">
        <f>J85*1.18</f>
        <v>1222.3230600000002</v>
      </c>
    </row>
    <row r="86" spans="1:11" ht="30">
      <c r="A86" s="64" t="s">
        <v>187</v>
      </c>
      <c r="B86" s="65">
        <v>4.8</v>
      </c>
      <c r="C86" s="33">
        <v>1.911</v>
      </c>
      <c r="D86" s="56"/>
      <c r="E86" s="141" t="s">
        <v>181</v>
      </c>
      <c r="F86" s="27"/>
      <c r="G86" s="28" t="s">
        <v>188</v>
      </c>
      <c r="H86" s="29">
        <v>0.18</v>
      </c>
      <c r="I86" s="30" t="s">
        <v>189</v>
      </c>
      <c r="J86" s="31">
        <f>1003*1.07*1.05</f>
        <v>1126.8705</v>
      </c>
      <c r="K86" s="32">
        <f>J86*1.18</f>
        <v>1329.7071899999999</v>
      </c>
    </row>
    <row r="87" spans="1:11" ht="30">
      <c r="A87" s="28" t="s">
        <v>190</v>
      </c>
      <c r="B87" s="29">
        <v>5.16</v>
      </c>
      <c r="C87" s="33">
        <v>1.911</v>
      </c>
      <c r="D87" s="56"/>
      <c r="E87" s="141" t="s">
        <v>181</v>
      </c>
      <c r="F87" s="27"/>
      <c r="G87" s="44"/>
      <c r="H87" s="44"/>
      <c r="I87" s="66"/>
      <c r="J87" s="26"/>
      <c r="K87" s="26"/>
    </row>
    <row r="88" spans="1:11" ht="30">
      <c r="A88" s="28" t="s">
        <v>191</v>
      </c>
      <c r="B88" s="29">
        <v>5.2</v>
      </c>
      <c r="C88" s="33">
        <v>1.911</v>
      </c>
      <c r="D88" s="56"/>
      <c r="E88" s="141" t="s">
        <v>181</v>
      </c>
      <c r="F88" s="27"/>
      <c r="G88" s="44" t="s">
        <v>192</v>
      </c>
      <c r="H88" s="44"/>
      <c r="I88" s="66"/>
      <c r="J88" s="26"/>
      <c r="K88" s="26"/>
    </row>
    <row r="89" spans="1:11" ht="30">
      <c r="A89" s="52" t="s">
        <v>193</v>
      </c>
      <c r="B89" s="52"/>
      <c r="C89" s="39"/>
      <c r="D89" s="27"/>
      <c r="E89" s="41"/>
      <c r="F89" s="27"/>
      <c r="G89" s="28" t="s">
        <v>194</v>
      </c>
      <c r="H89" s="28"/>
      <c r="I89" s="30" t="s">
        <v>195</v>
      </c>
      <c r="J89" s="31">
        <f>97862*0.95*1.07*1.05</f>
        <v>104450.55915</v>
      </c>
      <c r="K89" s="32">
        <f>J89*1.18</f>
        <v>123251.659797</v>
      </c>
    </row>
    <row r="90" spans="1:11" ht="30">
      <c r="A90" s="28" t="s">
        <v>196</v>
      </c>
      <c r="B90" s="29">
        <v>0.25</v>
      </c>
      <c r="C90" s="30" t="s">
        <v>154</v>
      </c>
      <c r="D90" s="31">
        <f>1510*0.95*1.07*1.05</f>
        <v>1611.6607500000002</v>
      </c>
      <c r="E90" s="32">
        <f>D90*1.18</f>
        <v>1901.7596850000002</v>
      </c>
      <c r="F90" s="27"/>
      <c r="G90" s="28" t="s">
        <v>197</v>
      </c>
      <c r="H90" s="28"/>
      <c r="I90" s="30" t="s">
        <v>198</v>
      </c>
      <c r="J90" s="31">
        <f>813495*0.95*1.07*1.05</f>
        <v>868263.5508750002</v>
      </c>
      <c r="K90" s="67">
        <f>J90*1.18</f>
        <v>1024550.9900325001</v>
      </c>
    </row>
    <row r="91" spans="1:11" ht="30">
      <c r="A91" s="28" t="s">
        <v>199</v>
      </c>
      <c r="B91" s="29">
        <v>0.38</v>
      </c>
      <c r="C91" s="30">
        <v>0.15</v>
      </c>
      <c r="D91" s="31">
        <f>1863*0.95*1.07*1.05</f>
        <v>1988.426475</v>
      </c>
      <c r="E91" s="32">
        <f>D91*1.18</f>
        <v>2346.3432405</v>
      </c>
      <c r="F91" s="27"/>
      <c r="G91" s="27"/>
      <c r="H91" s="27"/>
      <c r="I91" s="27"/>
      <c r="J91" s="27"/>
      <c r="K91" s="27"/>
    </row>
    <row r="92" spans="1:11" ht="30">
      <c r="A92" s="28" t="s">
        <v>200</v>
      </c>
      <c r="B92" s="29">
        <v>0.43</v>
      </c>
      <c r="C92" s="30" t="s">
        <v>201</v>
      </c>
      <c r="D92" s="31">
        <f>2350*0.95*1.07*1.05</f>
        <v>2508.2137500000003</v>
      </c>
      <c r="E92" s="32">
        <f>D92*1.18</f>
        <v>2959.6922250000002</v>
      </c>
      <c r="F92" s="27"/>
      <c r="G92" s="24" t="s">
        <v>202</v>
      </c>
      <c r="H92" s="24"/>
      <c r="I92" s="25"/>
      <c r="J92" s="26"/>
      <c r="K92" s="26"/>
    </row>
    <row r="93" spans="1:11" ht="30">
      <c r="A93" s="28" t="s">
        <v>203</v>
      </c>
      <c r="B93" s="29">
        <v>1.5</v>
      </c>
      <c r="C93" s="30" t="s">
        <v>204</v>
      </c>
      <c r="D93" s="31">
        <f>8699*0.95*1.07*1.05</f>
        <v>9284.660174999999</v>
      </c>
      <c r="E93" s="32">
        <f>D93*1.18</f>
        <v>10955.899006499998</v>
      </c>
      <c r="F93" s="27"/>
      <c r="G93" s="28" t="s">
        <v>205</v>
      </c>
      <c r="H93" s="29">
        <v>7.81</v>
      </c>
      <c r="I93" s="30" t="s">
        <v>206</v>
      </c>
      <c r="J93" s="31">
        <f>19686*1.07*1.05</f>
        <v>22117.221</v>
      </c>
      <c r="K93" s="32">
        <f>J93*1.18</f>
        <v>26098.320780000002</v>
      </c>
    </row>
    <row r="94" spans="1:11" ht="30">
      <c r="A94" s="52" t="s">
        <v>207</v>
      </c>
      <c r="B94" s="52"/>
      <c r="C94" s="27"/>
      <c r="D94" s="27"/>
      <c r="E94" s="27"/>
      <c r="F94" s="27"/>
      <c r="G94" s="28" t="s">
        <v>208</v>
      </c>
      <c r="H94" s="52"/>
      <c r="I94" s="27"/>
      <c r="J94" s="27"/>
      <c r="K94" s="27"/>
    </row>
    <row r="95" spans="1:11" ht="30">
      <c r="A95" s="28" t="s">
        <v>209</v>
      </c>
      <c r="B95" s="29">
        <v>0.5</v>
      </c>
      <c r="C95" s="30" t="s">
        <v>210</v>
      </c>
      <c r="D95" s="31">
        <f>4136*0.95*1.07*1.05</f>
        <v>4414.4562</v>
      </c>
      <c r="E95" s="32">
        <f>D95*1.18</f>
        <v>5209.058316</v>
      </c>
      <c r="F95" s="27"/>
      <c r="G95" s="28" t="s">
        <v>211</v>
      </c>
      <c r="H95" s="29">
        <v>5.5</v>
      </c>
      <c r="I95" s="30">
        <v>2.2</v>
      </c>
      <c r="J95" s="31">
        <f>13781*1.07*1.05</f>
        <v>15482.953500000001</v>
      </c>
      <c r="K95" s="32">
        <f>J95*1.18</f>
        <v>18269.885130000002</v>
      </c>
    </row>
    <row r="96" spans="1:11" ht="30">
      <c r="A96" s="28" t="s">
        <v>212</v>
      </c>
      <c r="B96" s="29">
        <v>0.75</v>
      </c>
      <c r="C96" s="30" t="s">
        <v>213</v>
      </c>
      <c r="D96" s="31">
        <f>6139*0.95*1.07*1.05</f>
        <v>6552.308175</v>
      </c>
      <c r="E96" s="32">
        <f>D96*1.18</f>
        <v>7731.7236465</v>
      </c>
      <c r="F96" s="27"/>
      <c r="G96" s="28" t="s">
        <v>214</v>
      </c>
      <c r="H96" s="29">
        <v>1.75</v>
      </c>
      <c r="I96" s="30">
        <v>0.7</v>
      </c>
      <c r="J96" s="31">
        <f>4553*1.07*1.05</f>
        <v>5115.2955</v>
      </c>
      <c r="K96" s="32">
        <f>J96*1.18</f>
        <v>6036.04869</v>
      </c>
    </row>
    <row r="97" spans="1:11" ht="30">
      <c r="A97" s="28" t="s">
        <v>215</v>
      </c>
      <c r="B97" s="29">
        <v>0.5</v>
      </c>
      <c r="C97" s="30" t="s">
        <v>210</v>
      </c>
      <c r="D97" s="31">
        <f>2909*0.95*1.07*1.05</f>
        <v>3104.8484249999997</v>
      </c>
      <c r="E97" s="32">
        <f>D97*1.18</f>
        <v>3663.7211414999992</v>
      </c>
      <c r="F97" s="27"/>
      <c r="G97" s="28" t="s">
        <v>216</v>
      </c>
      <c r="H97" s="29">
        <v>0.28</v>
      </c>
      <c r="I97" s="30">
        <v>0.1</v>
      </c>
      <c r="J97" s="31">
        <f>676*1.07*1.05</f>
        <v>759.4860000000001</v>
      </c>
      <c r="K97" s="32">
        <f>J97*1.18</f>
        <v>896.19348</v>
      </c>
    </row>
    <row r="98" ht="15">
      <c r="F98" s="1"/>
    </row>
    <row r="99" spans="3:11" ht="20.25">
      <c r="C99" s="68"/>
      <c r="D99" s="69"/>
      <c r="E99" s="3"/>
      <c r="F99" s="1"/>
      <c r="G99" s="70"/>
      <c r="H99" s="70"/>
      <c r="I99" s="71"/>
      <c r="J99" s="72"/>
      <c r="K99" s="73"/>
    </row>
    <row r="100" spans="3:11" ht="21" thickBot="1">
      <c r="C100" s="68"/>
      <c r="D100" s="69"/>
      <c r="E100" s="3"/>
      <c r="F100" s="1"/>
      <c r="G100" s="70"/>
      <c r="H100" s="70"/>
      <c r="I100" s="71"/>
      <c r="J100" s="72"/>
      <c r="K100" s="73"/>
    </row>
    <row r="101" spans="1:11" ht="30" thickBot="1">
      <c r="A101" s="1"/>
      <c r="B101" s="1"/>
      <c r="C101" s="2"/>
      <c r="D101" s="3"/>
      <c r="E101" s="3"/>
      <c r="F101" s="1"/>
      <c r="G101" s="74"/>
      <c r="H101" s="74"/>
      <c r="I101" s="75"/>
      <c r="J101" s="76"/>
      <c r="K101" s="126" t="s">
        <v>1</v>
      </c>
    </row>
    <row r="102" spans="1:11" ht="45">
      <c r="A102" s="20" t="s">
        <v>2</v>
      </c>
      <c r="B102" s="21" t="s">
        <v>3</v>
      </c>
      <c r="C102" s="21" t="s">
        <v>4</v>
      </c>
      <c r="D102" s="22" t="s">
        <v>217</v>
      </c>
      <c r="E102" s="22" t="s">
        <v>7</v>
      </c>
      <c r="F102" s="23"/>
      <c r="G102" s="20" t="s">
        <v>2</v>
      </c>
      <c r="H102" s="21" t="s">
        <v>3</v>
      </c>
      <c r="I102" s="21" t="s">
        <v>4</v>
      </c>
      <c r="J102" s="22" t="s">
        <v>218</v>
      </c>
      <c r="K102" s="22" t="s">
        <v>219</v>
      </c>
    </row>
    <row r="103" spans="1:11" ht="30">
      <c r="A103" s="24" t="s">
        <v>220</v>
      </c>
      <c r="B103" s="24"/>
      <c r="C103" s="77"/>
      <c r="D103" s="26"/>
      <c r="E103" s="26"/>
      <c r="F103" s="27"/>
      <c r="G103" s="52" t="s">
        <v>221</v>
      </c>
      <c r="H103" s="52"/>
      <c r="I103" s="39"/>
      <c r="J103" s="26"/>
      <c r="K103" s="78"/>
    </row>
    <row r="104" spans="1:11" ht="30">
      <c r="A104" s="28" t="s">
        <v>222</v>
      </c>
      <c r="B104" s="29">
        <v>0.7</v>
      </c>
      <c r="C104" s="30">
        <v>0.28</v>
      </c>
      <c r="D104" s="31">
        <f>2270*0.95*1.07*1.05</f>
        <v>2422.82775</v>
      </c>
      <c r="E104" s="32">
        <f aca="true" t="shared" si="4" ref="E104:E146">D104*1.18</f>
        <v>2858.936745</v>
      </c>
      <c r="F104" s="27"/>
      <c r="G104" s="28" t="s">
        <v>223</v>
      </c>
      <c r="H104" s="29">
        <v>1.78</v>
      </c>
      <c r="I104" s="30" t="s">
        <v>36</v>
      </c>
      <c r="J104" s="31">
        <f>11804*0.95*1.07*1.05</f>
        <v>12598.7043</v>
      </c>
      <c r="K104" s="79">
        <f aca="true" t="shared" si="5" ref="K104:K109">J104*1.18</f>
        <v>14866.471074</v>
      </c>
    </row>
    <row r="105" spans="1:11" ht="30">
      <c r="A105" s="28" t="s">
        <v>224</v>
      </c>
      <c r="B105" s="29">
        <v>0.7</v>
      </c>
      <c r="C105" s="30">
        <v>0.28</v>
      </c>
      <c r="D105" s="31">
        <f>2338*0.95*1.07*1.05</f>
        <v>2495.4058500000006</v>
      </c>
      <c r="E105" s="32">
        <f t="shared" si="4"/>
        <v>2944.5789030000005</v>
      </c>
      <c r="F105" s="27"/>
      <c r="G105" s="28" t="s">
        <v>225</v>
      </c>
      <c r="H105" s="29">
        <v>2.4</v>
      </c>
      <c r="I105" s="30" t="s">
        <v>226</v>
      </c>
      <c r="J105" s="31">
        <f>14747*0.95*1.07*1.05</f>
        <v>15739.841775</v>
      </c>
      <c r="K105" s="79">
        <f t="shared" si="5"/>
        <v>18573.0132945</v>
      </c>
    </row>
    <row r="106" spans="1:11" ht="30">
      <c r="A106" s="61" t="s">
        <v>227</v>
      </c>
      <c r="B106" s="62">
        <v>0.93</v>
      </c>
      <c r="C106" s="30">
        <v>0.37</v>
      </c>
      <c r="D106" s="31">
        <f>2795*0.95*1.07*1.05</f>
        <v>2983.1733750000003</v>
      </c>
      <c r="E106" s="32">
        <f t="shared" si="4"/>
        <v>3520.1445825</v>
      </c>
      <c r="F106" s="27"/>
      <c r="G106" s="28" t="s">
        <v>228</v>
      </c>
      <c r="H106" s="29">
        <v>2.4</v>
      </c>
      <c r="I106" s="30" t="s">
        <v>226</v>
      </c>
      <c r="J106" s="31">
        <f>19165*0.95*1.07*1.05</f>
        <v>20455.283625</v>
      </c>
      <c r="K106" s="79">
        <f t="shared" si="5"/>
        <v>24137.2346775</v>
      </c>
    </row>
    <row r="107" spans="1:11" ht="30">
      <c r="A107" s="61" t="s">
        <v>229</v>
      </c>
      <c r="B107" s="62">
        <v>0.93</v>
      </c>
      <c r="C107" s="30">
        <v>0.37</v>
      </c>
      <c r="D107" s="31">
        <f>3105*0.95*1.07*1.05</f>
        <v>3314.0441250000003</v>
      </c>
      <c r="E107" s="32">
        <f t="shared" si="4"/>
        <v>3910.5720675000002</v>
      </c>
      <c r="F107" s="27"/>
      <c r="G107" s="28" t="s">
        <v>230</v>
      </c>
      <c r="H107" s="29">
        <v>3</v>
      </c>
      <c r="I107" s="30" t="s">
        <v>231</v>
      </c>
      <c r="J107" s="31">
        <f>17798*0.95*1.07*1.05</f>
        <v>18996.250350000002</v>
      </c>
      <c r="K107" s="79">
        <f t="shared" si="5"/>
        <v>22415.575413000002</v>
      </c>
    </row>
    <row r="108" spans="1:11" ht="30">
      <c r="A108" s="28" t="s">
        <v>232</v>
      </c>
      <c r="B108" s="29">
        <v>1.15</v>
      </c>
      <c r="C108" s="30">
        <v>0.46</v>
      </c>
      <c r="D108" s="31">
        <f>3597*0.95*1.07*1.05</f>
        <v>3839.1680250000004</v>
      </c>
      <c r="E108" s="32">
        <f t="shared" si="4"/>
        <v>4530.2182695</v>
      </c>
      <c r="F108" s="27"/>
      <c r="G108" s="28" t="s">
        <v>233</v>
      </c>
      <c r="H108" s="29">
        <v>3</v>
      </c>
      <c r="I108" s="30" t="s">
        <v>231</v>
      </c>
      <c r="J108" s="31">
        <f>22456*0.95*1.07*1.05</f>
        <v>23967.8502</v>
      </c>
      <c r="K108" s="79">
        <f t="shared" si="5"/>
        <v>28282.063235999998</v>
      </c>
    </row>
    <row r="109" spans="1:11" ht="30">
      <c r="A109" s="28" t="s">
        <v>234</v>
      </c>
      <c r="B109" s="29">
        <v>1.15</v>
      </c>
      <c r="C109" s="30">
        <v>0.46</v>
      </c>
      <c r="D109" s="31">
        <f>3831*0.95*1.07*1.05</f>
        <v>4088.922075</v>
      </c>
      <c r="E109" s="32">
        <f t="shared" si="4"/>
        <v>4824.9280485</v>
      </c>
      <c r="F109" s="27"/>
      <c r="G109" s="28" t="s">
        <v>235</v>
      </c>
      <c r="H109" s="29">
        <v>3.62</v>
      </c>
      <c r="I109" s="30" t="s">
        <v>236</v>
      </c>
      <c r="J109" s="31">
        <f>20756*0.95*1.07*1.05</f>
        <v>22153.3977</v>
      </c>
      <c r="K109" s="79">
        <f t="shared" si="5"/>
        <v>26141.009286</v>
      </c>
    </row>
    <row r="110" spans="1:11" ht="30">
      <c r="A110" s="28" t="s">
        <v>237</v>
      </c>
      <c r="B110" s="29">
        <v>1.38</v>
      </c>
      <c r="C110" s="30">
        <v>0.55</v>
      </c>
      <c r="D110" s="31">
        <f>4301*0.95*1.07*1.05</f>
        <v>4590.564825</v>
      </c>
      <c r="E110" s="32">
        <f t="shared" si="4"/>
        <v>5416.866493500001</v>
      </c>
      <c r="F110" s="27"/>
      <c r="G110" s="52" t="s">
        <v>238</v>
      </c>
      <c r="H110" s="52"/>
      <c r="I110" s="39"/>
      <c r="J110" s="26"/>
      <c r="K110" s="78"/>
    </row>
    <row r="111" spans="1:11" ht="30">
      <c r="A111" s="28" t="s">
        <v>239</v>
      </c>
      <c r="B111" s="29">
        <v>1.38</v>
      </c>
      <c r="C111" s="30">
        <v>0.55</v>
      </c>
      <c r="D111" s="31">
        <f>4522*0.95*1.07*1.05</f>
        <v>4826.44365</v>
      </c>
      <c r="E111" s="32">
        <f t="shared" si="4"/>
        <v>5695.203507</v>
      </c>
      <c r="F111" s="27"/>
      <c r="G111" s="28" t="s">
        <v>240</v>
      </c>
      <c r="H111" s="29">
        <v>1.78</v>
      </c>
      <c r="I111" s="30" t="s">
        <v>36</v>
      </c>
      <c r="J111" s="31">
        <f>11837*0.95*1.07*1.05</f>
        <v>12633.926025</v>
      </c>
      <c r="K111" s="79">
        <f>J111*1.18</f>
        <v>14908.0327095</v>
      </c>
    </row>
    <row r="112" spans="1:11" ht="30">
      <c r="A112" s="28" t="s">
        <v>241</v>
      </c>
      <c r="B112" s="29">
        <v>1.6</v>
      </c>
      <c r="C112" s="30">
        <v>0.64</v>
      </c>
      <c r="D112" s="31">
        <f>4967*0.95*1.07*1.05</f>
        <v>5301.403275000001</v>
      </c>
      <c r="E112" s="32">
        <f t="shared" si="4"/>
        <v>6255.6558645000005</v>
      </c>
      <c r="F112" s="27"/>
      <c r="G112" s="28" t="s">
        <v>242</v>
      </c>
      <c r="H112" s="29">
        <v>2.4</v>
      </c>
      <c r="I112" s="30" t="s">
        <v>226</v>
      </c>
      <c r="J112" s="31">
        <f>14540*0.95*1.07*1.05</f>
        <v>15518.905500000003</v>
      </c>
      <c r="K112" s="79">
        <f>J112*1.18</f>
        <v>18312.308490000003</v>
      </c>
    </row>
    <row r="113" spans="1:11" ht="30">
      <c r="A113" s="28" t="s">
        <v>243</v>
      </c>
      <c r="B113" s="29">
        <v>1.6</v>
      </c>
      <c r="C113" s="30">
        <v>0.64</v>
      </c>
      <c r="D113" s="31">
        <f>5285*0.95*1.07*1.05</f>
        <v>5640.8126250000005</v>
      </c>
      <c r="E113" s="32">
        <f t="shared" si="4"/>
        <v>6656.1588975</v>
      </c>
      <c r="F113" s="27"/>
      <c r="G113" s="28" t="s">
        <v>244</v>
      </c>
      <c r="H113" s="29">
        <v>3</v>
      </c>
      <c r="I113" s="30" t="s">
        <v>231</v>
      </c>
      <c r="J113" s="31">
        <f>17481*0.95*1.07*1.05</f>
        <v>18657.908325000004</v>
      </c>
      <c r="K113" s="79">
        <f>J113*1.18</f>
        <v>22016.331823500004</v>
      </c>
    </row>
    <row r="114" spans="1:11" ht="30">
      <c r="A114" s="28" t="s">
        <v>245</v>
      </c>
      <c r="B114" s="29">
        <v>1.83</v>
      </c>
      <c r="C114" s="30">
        <v>0.73</v>
      </c>
      <c r="D114" s="31">
        <f>5728*0.95*1.07*1.05</f>
        <v>6113.6376</v>
      </c>
      <c r="E114" s="32">
        <f t="shared" si="4"/>
        <v>7214.092368</v>
      </c>
      <c r="F114" s="27"/>
      <c r="G114" s="28" t="s">
        <v>246</v>
      </c>
      <c r="H114" s="29">
        <v>3.62</v>
      </c>
      <c r="I114" s="30" t="s">
        <v>27</v>
      </c>
      <c r="J114" s="31">
        <f>20449*0.95*1.07*1.05</f>
        <v>21825.728925000003</v>
      </c>
      <c r="K114" s="79">
        <f>J114*1.18</f>
        <v>25754.3601315</v>
      </c>
    </row>
    <row r="115" spans="1:11" ht="30">
      <c r="A115" s="28" t="s">
        <v>247</v>
      </c>
      <c r="B115" s="29">
        <v>1.83</v>
      </c>
      <c r="C115" s="30">
        <v>0.73</v>
      </c>
      <c r="D115" s="31">
        <f>6011*0.95*1.07*1.05</f>
        <v>6415.6905750000005</v>
      </c>
      <c r="E115" s="32">
        <f t="shared" si="4"/>
        <v>7570.5148785</v>
      </c>
      <c r="F115" s="27"/>
      <c r="G115" s="24" t="s">
        <v>248</v>
      </c>
      <c r="H115" s="24"/>
      <c r="I115" s="25"/>
      <c r="J115" s="26"/>
      <c r="K115" s="78"/>
    </row>
    <row r="116" spans="1:11" ht="30">
      <c r="A116" s="28" t="s">
        <v>249</v>
      </c>
      <c r="B116" s="29">
        <v>1.83</v>
      </c>
      <c r="C116" s="30">
        <v>0.73</v>
      </c>
      <c r="D116" s="31">
        <f>6334*0.95*1.07*1.05</f>
        <v>6760.436549999999</v>
      </c>
      <c r="E116" s="32">
        <f t="shared" si="4"/>
        <v>7977.315128999999</v>
      </c>
      <c r="F116" s="27"/>
      <c r="G116" s="28" t="s">
        <v>250</v>
      </c>
      <c r="H116" s="29">
        <v>2.4</v>
      </c>
      <c r="I116" s="30" t="s">
        <v>226</v>
      </c>
      <c r="J116" s="31">
        <f>13515*0.95*1.07*1.05</f>
        <v>14424.897375000002</v>
      </c>
      <c r="K116" s="79">
        <f aca="true" t="shared" si="6" ref="K116:K124">J116*1.18</f>
        <v>17021.3789025</v>
      </c>
    </row>
    <row r="117" spans="1:11" ht="30">
      <c r="A117" s="28" t="s">
        <v>251</v>
      </c>
      <c r="B117" s="29">
        <v>2.05</v>
      </c>
      <c r="C117" s="30">
        <v>0.82</v>
      </c>
      <c r="D117" s="31">
        <f>6730*0.95*1.07*1.05</f>
        <v>7183.097250000001</v>
      </c>
      <c r="E117" s="32">
        <f t="shared" si="4"/>
        <v>8476.054755000001</v>
      </c>
      <c r="F117" s="27"/>
      <c r="G117" s="28" t="s">
        <v>252</v>
      </c>
      <c r="H117" s="29">
        <v>2.4</v>
      </c>
      <c r="I117" s="30" t="s">
        <v>226</v>
      </c>
      <c r="J117" s="31">
        <f>16601*0.95*1.07*1.05</f>
        <v>17718.662325</v>
      </c>
      <c r="K117" s="79">
        <f t="shared" si="6"/>
        <v>20908.0215435</v>
      </c>
    </row>
    <row r="118" spans="1:11" ht="30">
      <c r="A118" s="28" t="s">
        <v>253</v>
      </c>
      <c r="B118" s="29">
        <v>2.05</v>
      </c>
      <c r="C118" s="30">
        <v>0.82</v>
      </c>
      <c r="D118" s="31">
        <f>7094*0.95*1.07*1.05</f>
        <v>7571.60355</v>
      </c>
      <c r="E118" s="32">
        <f t="shared" si="4"/>
        <v>8934.492188999999</v>
      </c>
      <c r="F118" s="27"/>
      <c r="G118" s="28" t="s">
        <v>254</v>
      </c>
      <c r="H118" s="29">
        <v>3</v>
      </c>
      <c r="I118" s="30" t="s">
        <v>231</v>
      </c>
      <c r="J118" s="31">
        <f>16457*0.95*1.07*1.05</f>
        <v>17564.967525</v>
      </c>
      <c r="K118" s="79">
        <f t="shared" si="6"/>
        <v>20726.661679499997</v>
      </c>
    </row>
    <row r="119" spans="1:11" ht="30">
      <c r="A119" s="28" t="s">
        <v>255</v>
      </c>
      <c r="B119" s="29">
        <v>2.28</v>
      </c>
      <c r="C119" s="30">
        <v>0.91</v>
      </c>
      <c r="D119" s="31">
        <f>7121*0.95*1.07*1.05</f>
        <v>7600.421325</v>
      </c>
      <c r="E119" s="32">
        <f t="shared" si="4"/>
        <v>8968.4971635</v>
      </c>
      <c r="F119" s="27"/>
      <c r="G119" s="28" t="s">
        <v>256</v>
      </c>
      <c r="H119" s="29">
        <v>3.2</v>
      </c>
      <c r="I119" s="30" t="s">
        <v>231</v>
      </c>
      <c r="J119" s="31">
        <f>20352*0.95*1.07*1.05</f>
        <v>21722.198399999997</v>
      </c>
      <c r="K119" s="79">
        <f t="shared" si="6"/>
        <v>25632.194111999997</v>
      </c>
    </row>
    <row r="120" spans="1:11" ht="30">
      <c r="A120" s="28" t="s">
        <v>257</v>
      </c>
      <c r="B120" s="29">
        <v>2.28</v>
      </c>
      <c r="C120" s="30">
        <v>0.91</v>
      </c>
      <c r="D120" s="31">
        <f>7470*0.95*1.07*1.05</f>
        <v>7972.9177500000005</v>
      </c>
      <c r="E120" s="32">
        <f t="shared" si="4"/>
        <v>9408.042945</v>
      </c>
      <c r="F120" s="27"/>
      <c r="G120" s="28" t="s">
        <v>258</v>
      </c>
      <c r="H120" s="29">
        <v>3.62</v>
      </c>
      <c r="I120" s="30">
        <v>1.44</v>
      </c>
      <c r="J120" s="31">
        <f>19422*0.95*1.07*1.05</f>
        <v>20729.58615</v>
      </c>
      <c r="K120" s="79">
        <f t="shared" si="6"/>
        <v>24460.911656999997</v>
      </c>
    </row>
    <row r="121" spans="1:11" ht="30">
      <c r="A121" s="28" t="s">
        <v>259</v>
      </c>
      <c r="B121" s="29">
        <v>2.28</v>
      </c>
      <c r="C121" s="30">
        <v>0.91</v>
      </c>
      <c r="D121" s="31">
        <f>7873*0.95*1.07*1.05</f>
        <v>8403.049725</v>
      </c>
      <c r="E121" s="32">
        <f t="shared" si="4"/>
        <v>9915.598675500001</v>
      </c>
      <c r="F121" s="27"/>
      <c r="G121" s="28" t="s">
        <v>260</v>
      </c>
      <c r="H121" s="29">
        <v>3.65</v>
      </c>
      <c r="I121" s="30" t="s">
        <v>27</v>
      </c>
      <c r="J121" s="31">
        <f>23226*0.95*1.07*1.05</f>
        <v>24789.690450000006</v>
      </c>
      <c r="K121" s="79">
        <f t="shared" si="6"/>
        <v>29251.834731000006</v>
      </c>
    </row>
    <row r="122" spans="1:11" ht="30">
      <c r="A122" s="28" t="s">
        <v>261</v>
      </c>
      <c r="B122" s="29">
        <v>2.28</v>
      </c>
      <c r="C122" s="30">
        <v>0.91</v>
      </c>
      <c r="D122" s="31">
        <f>8788*0.95*1.07*1.05</f>
        <v>9379.652100000001</v>
      </c>
      <c r="E122" s="32">
        <f t="shared" si="4"/>
        <v>11067.989478000001</v>
      </c>
      <c r="F122" s="27"/>
      <c r="G122" s="28" t="s">
        <v>262</v>
      </c>
      <c r="H122" s="42">
        <v>2.4</v>
      </c>
      <c r="I122" s="43">
        <v>0.96</v>
      </c>
      <c r="J122" s="31">
        <f>14456*0.95*1.07*1.05</f>
        <v>15429.2502</v>
      </c>
      <c r="K122" s="79">
        <f t="shared" si="6"/>
        <v>18206.515236</v>
      </c>
    </row>
    <row r="123" spans="1:11" ht="30">
      <c r="A123" s="28" t="s">
        <v>263</v>
      </c>
      <c r="B123" s="29">
        <v>2.28</v>
      </c>
      <c r="C123" s="30">
        <v>0.91</v>
      </c>
      <c r="D123" s="31">
        <f>8997*0.95*1.07*1.05</f>
        <v>9602.723025000001</v>
      </c>
      <c r="E123" s="32">
        <f t="shared" si="4"/>
        <v>11331.2131695</v>
      </c>
      <c r="F123" s="27"/>
      <c r="G123" s="28" t="s">
        <v>264</v>
      </c>
      <c r="H123" s="29">
        <v>3</v>
      </c>
      <c r="I123" s="30">
        <v>1.2</v>
      </c>
      <c r="J123" s="31">
        <f>18399*0.95*1.07*1.05</f>
        <v>19637.712675000002</v>
      </c>
      <c r="K123" s="79">
        <f t="shared" si="6"/>
        <v>23172.5009565</v>
      </c>
    </row>
    <row r="124" spans="1:11" ht="30">
      <c r="A124" s="28" t="s">
        <v>265</v>
      </c>
      <c r="B124" s="29">
        <v>2.28</v>
      </c>
      <c r="C124" s="30">
        <v>0.91</v>
      </c>
      <c r="D124" s="31">
        <f>9566*0.95*1.07*1.05</f>
        <v>10210.03095</v>
      </c>
      <c r="E124" s="32">
        <f t="shared" si="4"/>
        <v>12047.836521</v>
      </c>
      <c r="F124" s="27"/>
      <c r="G124" s="28" t="s">
        <v>266</v>
      </c>
      <c r="H124" s="29">
        <v>3.62</v>
      </c>
      <c r="I124" s="30">
        <v>1.44</v>
      </c>
      <c r="J124" s="31">
        <f>21073*0.95*1.07*1.05</f>
        <v>22491.739725</v>
      </c>
      <c r="K124" s="79">
        <f t="shared" si="6"/>
        <v>26540.2528755</v>
      </c>
    </row>
    <row r="125" spans="1:11" ht="30">
      <c r="A125" s="28" t="s">
        <v>267</v>
      </c>
      <c r="B125" s="29">
        <v>2.28</v>
      </c>
      <c r="C125" s="30">
        <v>0.91</v>
      </c>
      <c r="D125" s="31">
        <f>10514*0.95*1.07*1.05</f>
        <v>11221.85505</v>
      </c>
      <c r="E125" s="32">
        <f t="shared" si="4"/>
        <v>13241.788959</v>
      </c>
      <c r="F125" s="27"/>
      <c r="G125" s="80"/>
      <c r="H125" s="80"/>
      <c r="I125" s="39"/>
      <c r="J125" s="40"/>
      <c r="K125" s="81"/>
    </row>
    <row r="126" spans="1:11" ht="30">
      <c r="A126" s="28" t="s">
        <v>268</v>
      </c>
      <c r="B126" s="29">
        <v>2.5</v>
      </c>
      <c r="C126" s="30">
        <v>1</v>
      </c>
      <c r="D126" s="31">
        <f>8634*0.95*1.07*1.05</f>
        <v>9215.28405</v>
      </c>
      <c r="E126" s="32">
        <f t="shared" si="4"/>
        <v>10874.035179</v>
      </c>
      <c r="F126" s="27"/>
      <c r="G126" s="52" t="s">
        <v>269</v>
      </c>
      <c r="H126" s="52"/>
      <c r="I126" s="39"/>
      <c r="J126" s="26"/>
      <c r="K126" s="78"/>
    </row>
    <row r="127" spans="1:11" ht="30">
      <c r="A127" s="28" t="s">
        <v>270</v>
      </c>
      <c r="B127" s="29">
        <v>2.5</v>
      </c>
      <c r="C127" s="30">
        <v>1</v>
      </c>
      <c r="D127" s="31">
        <f>9231*0.95*1.07*1.05</f>
        <v>9852.477075</v>
      </c>
      <c r="E127" s="32">
        <f t="shared" si="4"/>
        <v>11625.9229485</v>
      </c>
      <c r="F127" s="27"/>
      <c r="G127" s="28" t="s">
        <v>271</v>
      </c>
      <c r="H127" s="29">
        <v>0.7</v>
      </c>
      <c r="I127" s="30" t="s">
        <v>272</v>
      </c>
      <c r="J127" s="31">
        <f>2671*1.07*1.05</f>
        <v>3000.8685000000005</v>
      </c>
      <c r="K127" s="79">
        <f aca="true" t="shared" si="7" ref="K127:K134">J127*1.18</f>
        <v>3541.0248300000003</v>
      </c>
    </row>
    <row r="128" spans="1:11" ht="30">
      <c r="A128" s="28" t="s">
        <v>273</v>
      </c>
      <c r="B128" s="29">
        <v>2.5</v>
      </c>
      <c r="C128" s="30">
        <v>1</v>
      </c>
      <c r="D128" s="31">
        <f>9886*0.95*1.07*1.05</f>
        <v>10551.574949999998</v>
      </c>
      <c r="E128" s="32">
        <f t="shared" si="4"/>
        <v>12450.858440999997</v>
      </c>
      <c r="F128" s="27"/>
      <c r="G128" s="28" t="s">
        <v>274</v>
      </c>
      <c r="H128" s="29">
        <v>0.17</v>
      </c>
      <c r="I128" s="30" t="s">
        <v>275</v>
      </c>
      <c r="J128" s="31">
        <f>503*1.07*1.05</f>
        <v>565.1205000000001</v>
      </c>
      <c r="K128" s="79">
        <f t="shared" si="7"/>
        <v>666.8421900000001</v>
      </c>
    </row>
    <row r="129" spans="1:11" ht="30">
      <c r="A129" s="28" t="s">
        <v>276</v>
      </c>
      <c r="B129" s="29">
        <v>2.5</v>
      </c>
      <c r="C129" s="30">
        <v>1</v>
      </c>
      <c r="D129" s="31">
        <f>10579*0.95*1.07*1.05</f>
        <v>11291.231175</v>
      </c>
      <c r="E129" s="32">
        <f t="shared" si="4"/>
        <v>13323.6527865</v>
      </c>
      <c r="F129" s="27"/>
      <c r="G129" s="28" t="s">
        <v>277</v>
      </c>
      <c r="H129" s="29">
        <v>1.04</v>
      </c>
      <c r="I129" s="30" t="s">
        <v>278</v>
      </c>
      <c r="J129" s="31">
        <f>3954*1.07*1.05</f>
        <v>4442.319000000001</v>
      </c>
      <c r="K129" s="79">
        <f t="shared" si="7"/>
        <v>5241.936420000001</v>
      </c>
    </row>
    <row r="130" spans="1:11" ht="30">
      <c r="A130" s="28" t="s">
        <v>279</v>
      </c>
      <c r="B130" s="29">
        <v>2.5</v>
      </c>
      <c r="C130" s="30">
        <v>1</v>
      </c>
      <c r="D130" s="31">
        <f>11198*0.95*1.07*1.05</f>
        <v>11951.905350000003</v>
      </c>
      <c r="E130" s="32">
        <f t="shared" si="4"/>
        <v>14103.248313000002</v>
      </c>
      <c r="F130" s="27"/>
      <c r="G130" s="28" t="s">
        <v>280</v>
      </c>
      <c r="H130" s="29">
        <v>0.26</v>
      </c>
      <c r="I130" s="30" t="s">
        <v>154</v>
      </c>
      <c r="J130" s="31">
        <f>881*1.07*1.05</f>
        <v>989.8035000000001</v>
      </c>
      <c r="K130" s="79">
        <f t="shared" si="7"/>
        <v>1167.96813</v>
      </c>
    </row>
    <row r="131" spans="1:11" ht="30">
      <c r="A131" s="28" t="s">
        <v>281</v>
      </c>
      <c r="B131" s="29">
        <v>2.73</v>
      </c>
      <c r="C131" s="30">
        <v>1.09</v>
      </c>
      <c r="D131" s="31">
        <f>8915*0.95*1.07*1.05</f>
        <v>9515.202375</v>
      </c>
      <c r="E131" s="32">
        <f t="shared" si="4"/>
        <v>11227.9388025</v>
      </c>
      <c r="F131" s="27"/>
      <c r="G131" s="28" t="s">
        <v>282</v>
      </c>
      <c r="H131" s="29">
        <v>1.77</v>
      </c>
      <c r="I131" s="30" t="s">
        <v>283</v>
      </c>
      <c r="J131" s="31">
        <f>6227*1.07*1.05</f>
        <v>6996.034500000001</v>
      </c>
      <c r="K131" s="79">
        <f t="shared" si="7"/>
        <v>8255.32071</v>
      </c>
    </row>
    <row r="132" spans="1:11" ht="30">
      <c r="A132" s="28" t="s">
        <v>284</v>
      </c>
      <c r="B132" s="29">
        <v>2.73</v>
      </c>
      <c r="C132" s="30">
        <v>1.09</v>
      </c>
      <c r="D132" s="31">
        <f>9371*0.95*1.07*1.05</f>
        <v>10001.902575</v>
      </c>
      <c r="E132" s="32">
        <f t="shared" si="4"/>
        <v>11802.2450385</v>
      </c>
      <c r="F132" s="27"/>
      <c r="G132" s="28" t="s">
        <v>285</v>
      </c>
      <c r="H132" s="29">
        <v>0.44</v>
      </c>
      <c r="I132" s="30" t="s">
        <v>286</v>
      </c>
      <c r="J132" s="31">
        <f>1438*1.07*1.05</f>
        <v>1615.593</v>
      </c>
      <c r="K132" s="79">
        <f t="shared" si="7"/>
        <v>1906.39974</v>
      </c>
    </row>
    <row r="133" spans="1:11" ht="30">
      <c r="A133" s="28" t="s">
        <v>287</v>
      </c>
      <c r="B133" s="29">
        <v>2.73</v>
      </c>
      <c r="C133" s="30">
        <v>1.09</v>
      </c>
      <c r="D133" s="31">
        <f>10763*0.95*1.07*1.05</f>
        <v>11487.618975000003</v>
      </c>
      <c r="E133" s="32">
        <f t="shared" si="4"/>
        <v>13555.390390500002</v>
      </c>
      <c r="F133" s="27"/>
      <c r="G133" s="28" t="s">
        <v>288</v>
      </c>
      <c r="H133" s="29">
        <v>2.48</v>
      </c>
      <c r="I133" s="30" t="s">
        <v>289</v>
      </c>
      <c r="J133" s="31">
        <f>9160*1.07*1.05</f>
        <v>10291.260000000002</v>
      </c>
      <c r="K133" s="79">
        <f t="shared" si="7"/>
        <v>12143.686800000001</v>
      </c>
    </row>
    <row r="134" spans="1:11" ht="30">
      <c r="A134" s="28" t="s">
        <v>290</v>
      </c>
      <c r="B134" s="29">
        <v>2.73</v>
      </c>
      <c r="C134" s="30">
        <v>1.09</v>
      </c>
      <c r="D134" s="31">
        <f>12562*0.95*1.07*1.05</f>
        <v>13407.736650000003</v>
      </c>
      <c r="E134" s="32">
        <f t="shared" si="4"/>
        <v>15821.129247000003</v>
      </c>
      <c r="F134" s="27"/>
      <c r="G134" s="28" t="s">
        <v>291</v>
      </c>
      <c r="H134" s="29">
        <v>0.61</v>
      </c>
      <c r="I134" s="30" t="s">
        <v>292</v>
      </c>
      <c r="J134" s="31">
        <f>2102*1.07*1.05</f>
        <v>2361.5970000000007</v>
      </c>
      <c r="K134" s="79">
        <f t="shared" si="7"/>
        <v>2786.684460000001</v>
      </c>
    </row>
    <row r="135" spans="1:11" ht="30">
      <c r="A135" s="28" t="s">
        <v>293</v>
      </c>
      <c r="B135" s="29">
        <v>2.5</v>
      </c>
      <c r="C135" s="30">
        <v>1</v>
      </c>
      <c r="D135" s="31">
        <f>7169*0.95*1.07*1.05</f>
        <v>7651.652925</v>
      </c>
      <c r="E135" s="32">
        <f t="shared" si="4"/>
        <v>9028.9504515</v>
      </c>
      <c r="F135" s="27"/>
      <c r="G135" s="52" t="s">
        <v>294</v>
      </c>
      <c r="H135" s="52"/>
      <c r="I135" s="39"/>
      <c r="J135" s="26"/>
      <c r="K135" s="78"/>
    </row>
    <row r="136" spans="1:11" ht="30">
      <c r="A136" s="28" t="s">
        <v>295</v>
      </c>
      <c r="B136" s="29">
        <v>2.5</v>
      </c>
      <c r="C136" s="30">
        <v>1</v>
      </c>
      <c r="D136" s="31">
        <f>7431*0.95*1.07*1.05</f>
        <v>7931.292075</v>
      </c>
      <c r="E136" s="32">
        <f t="shared" si="4"/>
        <v>9358.9246485</v>
      </c>
      <c r="F136" s="27"/>
      <c r="G136" s="28" t="s">
        <v>296</v>
      </c>
      <c r="H136" s="51">
        <v>1.125</v>
      </c>
      <c r="I136" s="30" t="s">
        <v>25</v>
      </c>
      <c r="J136" s="31">
        <f>6531*1.07*1.05</f>
        <v>7337.5785000000005</v>
      </c>
      <c r="K136" s="79">
        <f>J136*1.18</f>
        <v>8658.342630000001</v>
      </c>
    </row>
    <row r="137" spans="1:11" ht="30">
      <c r="A137" s="28" t="s">
        <v>297</v>
      </c>
      <c r="B137" s="29">
        <v>2.5</v>
      </c>
      <c r="C137" s="30">
        <v>1</v>
      </c>
      <c r="D137" s="31">
        <f>7910*0.95*1.07*1.05</f>
        <v>8442.54075</v>
      </c>
      <c r="E137" s="32">
        <f t="shared" si="4"/>
        <v>9962.198085</v>
      </c>
      <c r="F137" s="27"/>
      <c r="G137" s="28" t="s">
        <v>298</v>
      </c>
      <c r="H137" s="51">
        <v>1.125</v>
      </c>
      <c r="I137" s="82">
        <v>0.45</v>
      </c>
      <c r="J137" s="46">
        <f>8794*1.07*1.05</f>
        <v>9880.059000000001</v>
      </c>
      <c r="K137" s="79">
        <f>J137*1.18</f>
        <v>11658.46962</v>
      </c>
    </row>
    <row r="138" spans="1:11" ht="30">
      <c r="A138" s="28" t="s">
        <v>299</v>
      </c>
      <c r="B138" s="29">
        <v>2.5</v>
      </c>
      <c r="C138" s="30">
        <v>1</v>
      </c>
      <c r="D138" s="31">
        <f>8646*0.95*1.07*1.05</f>
        <v>9228.09195</v>
      </c>
      <c r="E138" s="32">
        <f t="shared" si="4"/>
        <v>10889.148501</v>
      </c>
      <c r="F138" s="27"/>
      <c r="G138" s="83" t="s">
        <v>300</v>
      </c>
      <c r="H138" s="84">
        <v>0.9</v>
      </c>
      <c r="I138" s="82">
        <v>0.36</v>
      </c>
      <c r="J138" s="83">
        <f>6840*1.05</f>
        <v>7182</v>
      </c>
      <c r="K138" s="79">
        <f>J138*1.18</f>
        <v>8474.76</v>
      </c>
    </row>
    <row r="139" spans="1:11" ht="30">
      <c r="A139" s="28" t="s">
        <v>301</v>
      </c>
      <c r="B139" s="29">
        <v>2.8</v>
      </c>
      <c r="C139" s="30">
        <v>1.12</v>
      </c>
      <c r="D139" s="31">
        <f>9226*1.05</f>
        <v>9687.300000000001</v>
      </c>
      <c r="E139" s="32">
        <f t="shared" si="4"/>
        <v>11431.014000000001</v>
      </c>
      <c r="F139" s="27"/>
      <c r="G139" s="24" t="s">
        <v>302</v>
      </c>
      <c r="H139" s="24"/>
      <c r="I139" s="25"/>
      <c r="J139" s="26"/>
      <c r="K139" s="78"/>
    </row>
    <row r="140" spans="1:11" ht="30">
      <c r="A140" s="28" t="s">
        <v>303</v>
      </c>
      <c r="B140" s="29">
        <v>3.1</v>
      </c>
      <c r="C140" s="30">
        <v>1.24</v>
      </c>
      <c r="D140" s="31">
        <f>9195*0.95*1.07*1.05</f>
        <v>9814.053375000001</v>
      </c>
      <c r="E140" s="32">
        <f t="shared" si="4"/>
        <v>11580.5829825</v>
      </c>
      <c r="F140" s="27"/>
      <c r="G140" s="28" t="s">
        <v>304</v>
      </c>
      <c r="H140" s="29">
        <v>0.25</v>
      </c>
      <c r="I140" s="30" t="s">
        <v>154</v>
      </c>
      <c r="J140" s="31">
        <f>1696*1.07*1.05</f>
        <v>1905.4560000000001</v>
      </c>
      <c r="K140" s="79">
        <f>J140*1.18</f>
        <v>2248.43808</v>
      </c>
    </row>
    <row r="141" spans="1:11" ht="30">
      <c r="A141" s="28" t="s">
        <v>305</v>
      </c>
      <c r="B141" s="29">
        <v>3.1</v>
      </c>
      <c r="C141" s="30">
        <v>1.24</v>
      </c>
      <c r="D141" s="31">
        <f>10229*0.95*1.07*1.05</f>
        <v>10917.667425000001</v>
      </c>
      <c r="E141" s="32">
        <f t="shared" si="4"/>
        <v>12882.8475615</v>
      </c>
      <c r="F141" s="27"/>
      <c r="G141" s="28" t="s">
        <v>306</v>
      </c>
      <c r="H141" s="51">
        <v>0.325</v>
      </c>
      <c r="I141" s="30" t="s">
        <v>307</v>
      </c>
      <c r="J141" s="31">
        <f>2773*1.07*1.05</f>
        <v>3115.4655000000002</v>
      </c>
      <c r="K141" s="79">
        <f>J141*1.18</f>
        <v>3676.24929</v>
      </c>
    </row>
    <row r="142" spans="1:11" ht="30">
      <c r="A142" s="28" t="s">
        <v>308</v>
      </c>
      <c r="B142" s="29">
        <v>3.1</v>
      </c>
      <c r="C142" s="30">
        <v>1.24</v>
      </c>
      <c r="D142" s="31">
        <f>12148*0.95*1.07*1.05</f>
        <v>12965.8641</v>
      </c>
      <c r="E142" s="32">
        <f t="shared" si="4"/>
        <v>15299.719638</v>
      </c>
      <c r="F142" s="27"/>
      <c r="G142" s="24" t="s">
        <v>309</v>
      </c>
      <c r="H142" s="24"/>
      <c r="I142" s="25"/>
      <c r="J142" s="26"/>
      <c r="K142" s="78"/>
    </row>
    <row r="143" spans="1:11" ht="30">
      <c r="A143" s="28" t="s">
        <v>310</v>
      </c>
      <c r="B143" s="29">
        <v>3.73</v>
      </c>
      <c r="C143" s="30">
        <v>1.49</v>
      </c>
      <c r="D143" s="31">
        <f>10993*0.95*1.07*1.05</f>
        <v>11733.103725000003</v>
      </c>
      <c r="E143" s="32">
        <f t="shared" si="4"/>
        <v>13845.062395500003</v>
      </c>
      <c r="F143" s="27"/>
      <c r="G143" s="60" t="s">
        <v>311</v>
      </c>
      <c r="H143" s="42">
        <v>5.5</v>
      </c>
      <c r="I143" s="30">
        <v>2.2</v>
      </c>
      <c r="J143" s="31">
        <f>28051*0.95*1.07*1.05</f>
        <v>29939.533575</v>
      </c>
      <c r="K143" s="79">
        <f>J143*1.18</f>
        <v>35328.6496185</v>
      </c>
    </row>
    <row r="144" spans="1:11" ht="30">
      <c r="A144" s="28" t="s">
        <v>312</v>
      </c>
      <c r="B144" s="29">
        <v>3.73</v>
      </c>
      <c r="C144" s="30">
        <v>1.49</v>
      </c>
      <c r="D144" s="31">
        <f>11711*0.95*1.07*1.05</f>
        <v>12499.443075000001</v>
      </c>
      <c r="E144" s="32">
        <f t="shared" si="4"/>
        <v>14749.3428285</v>
      </c>
      <c r="F144" s="27"/>
      <c r="G144" s="28" t="s">
        <v>313</v>
      </c>
      <c r="H144" s="29">
        <v>9.8</v>
      </c>
      <c r="I144" s="30">
        <v>3.9</v>
      </c>
      <c r="J144" s="31">
        <f>48162*0.95*1.07*1.05</f>
        <v>51404.50665</v>
      </c>
      <c r="K144" s="79">
        <f>J144*1.18</f>
        <v>60657.317847</v>
      </c>
    </row>
    <row r="145" spans="1:11" ht="30">
      <c r="A145" s="28" t="s">
        <v>314</v>
      </c>
      <c r="B145" s="29">
        <v>3.73</v>
      </c>
      <c r="C145" s="30">
        <v>1.49</v>
      </c>
      <c r="D145" s="31">
        <f>12231*0.95*1.07*1.05</f>
        <v>13054.452075000001</v>
      </c>
      <c r="E145" s="32">
        <f t="shared" si="4"/>
        <v>15404.2534485</v>
      </c>
      <c r="F145" s="27"/>
      <c r="G145" s="28" t="s">
        <v>315</v>
      </c>
      <c r="H145" s="29">
        <v>12.9</v>
      </c>
      <c r="I145" s="30">
        <v>5.2</v>
      </c>
      <c r="J145" s="31">
        <f>96921*0.95*1.07*1.05</f>
        <v>103446.206325</v>
      </c>
      <c r="K145" s="79">
        <f>J145*1.18</f>
        <v>122066.5234635</v>
      </c>
    </row>
    <row r="146" spans="1:11" ht="30">
      <c r="A146" s="28" t="s">
        <v>316</v>
      </c>
      <c r="B146" s="29">
        <v>3.73</v>
      </c>
      <c r="C146" s="30">
        <v>1.49</v>
      </c>
      <c r="D146" s="31">
        <f>14539*0.95*1.07*1.05</f>
        <v>15517.838175</v>
      </c>
      <c r="E146" s="32">
        <f t="shared" si="4"/>
        <v>18311.0490465</v>
      </c>
      <c r="F146" s="27"/>
      <c r="G146" s="28" t="s">
        <v>317</v>
      </c>
      <c r="H146" s="29">
        <v>15.5</v>
      </c>
      <c r="I146" s="30">
        <v>6.2</v>
      </c>
      <c r="J146" s="31">
        <f>120395*0.95*1.07*1.05</f>
        <v>128500.59337500001</v>
      </c>
      <c r="K146" s="79">
        <f>J146*1.18</f>
        <v>151630.7001825</v>
      </c>
    </row>
    <row r="147" spans="1:11" ht="30">
      <c r="A147" s="52"/>
      <c r="B147" s="117"/>
      <c r="C147" s="53"/>
      <c r="D147" s="118"/>
      <c r="E147" s="119"/>
      <c r="F147" s="27"/>
      <c r="G147" s="52"/>
      <c r="H147" s="117"/>
      <c r="I147" s="53"/>
      <c r="J147" s="118"/>
      <c r="K147" s="122"/>
    </row>
    <row r="148" spans="1:11" ht="30">
      <c r="A148" s="24" t="s">
        <v>318</v>
      </c>
      <c r="B148" s="24"/>
      <c r="C148" s="25"/>
      <c r="D148" s="26"/>
      <c r="E148" s="26"/>
      <c r="F148" s="27"/>
      <c r="G148" s="24" t="s">
        <v>319</v>
      </c>
      <c r="H148" s="24"/>
      <c r="I148" s="85"/>
      <c r="J148" s="26"/>
      <c r="K148" s="78"/>
    </row>
    <row r="149" spans="1:11" ht="30">
      <c r="A149" s="28" t="s">
        <v>320</v>
      </c>
      <c r="B149" s="29">
        <v>1.15</v>
      </c>
      <c r="C149" s="30">
        <v>0.45</v>
      </c>
      <c r="D149" s="31"/>
      <c r="E149" s="32" t="s">
        <v>181</v>
      </c>
      <c r="F149" s="27"/>
      <c r="G149" s="28" t="s">
        <v>321</v>
      </c>
      <c r="H149" s="29">
        <v>2</v>
      </c>
      <c r="I149" s="86">
        <v>0.8</v>
      </c>
      <c r="J149" s="31">
        <f>5718*1.07*1.05</f>
        <v>6424.173000000001</v>
      </c>
      <c r="K149" s="79">
        <f>J149*1.18</f>
        <v>7580.52414</v>
      </c>
    </row>
    <row r="150" spans="1:11" ht="30">
      <c r="A150" s="52" t="s">
        <v>322</v>
      </c>
      <c r="B150" s="52"/>
      <c r="C150" s="39"/>
      <c r="D150" s="26"/>
      <c r="E150" s="32"/>
      <c r="F150" s="27"/>
      <c r="G150" s="28" t="s">
        <v>323</v>
      </c>
      <c r="H150" s="29">
        <v>1.98</v>
      </c>
      <c r="I150" s="86">
        <v>0.8</v>
      </c>
      <c r="J150" s="31">
        <f>5718*1.07*1.05</f>
        <v>6424.173000000001</v>
      </c>
      <c r="K150" s="79">
        <f>J150*1.18</f>
        <v>7580.52414</v>
      </c>
    </row>
    <row r="151" spans="1:11" ht="30">
      <c r="A151" s="60" t="s">
        <v>324</v>
      </c>
      <c r="B151" s="42">
        <v>2.75</v>
      </c>
      <c r="C151" s="43">
        <v>1.1</v>
      </c>
      <c r="D151" s="148"/>
      <c r="E151" s="32" t="s">
        <v>181</v>
      </c>
      <c r="F151" s="27"/>
      <c r="G151" s="28" t="s">
        <v>325</v>
      </c>
      <c r="H151" s="29">
        <v>4.2</v>
      </c>
      <c r="I151" s="86">
        <v>1.68</v>
      </c>
      <c r="J151" s="31">
        <f>14509*1.05</f>
        <v>15234.45</v>
      </c>
      <c r="K151" s="79">
        <f>J151*1.18</f>
        <v>17976.651</v>
      </c>
    </row>
    <row r="152" spans="1:11" ht="30">
      <c r="A152" s="28" t="s">
        <v>326</v>
      </c>
      <c r="B152" s="29">
        <v>2.75</v>
      </c>
      <c r="C152" s="30">
        <v>1.1</v>
      </c>
      <c r="D152" s="148"/>
      <c r="E152" s="32" t="s">
        <v>181</v>
      </c>
      <c r="F152" s="27"/>
      <c r="G152" s="28" t="s">
        <v>327</v>
      </c>
      <c r="H152" s="29">
        <v>4.2</v>
      </c>
      <c r="I152" s="82">
        <v>1.68</v>
      </c>
      <c r="J152" s="46">
        <f>13985*1.07*1.5</f>
        <v>22445.925000000003</v>
      </c>
      <c r="K152" s="79">
        <f>J152*1.18</f>
        <v>26486.1915</v>
      </c>
    </row>
    <row r="153" spans="1:11" ht="30">
      <c r="A153" s="52"/>
      <c r="B153" s="117"/>
      <c r="C153" s="53"/>
      <c r="D153" s="118"/>
      <c r="E153" s="119"/>
      <c r="F153" s="27"/>
      <c r="G153" s="47"/>
      <c r="H153" s="117"/>
      <c r="I153" s="120"/>
      <c r="J153" s="121"/>
      <c r="K153" s="122"/>
    </row>
    <row r="154" spans="1:11" ht="33">
      <c r="A154" s="52" t="s">
        <v>328</v>
      </c>
      <c r="B154" s="52"/>
      <c r="C154" s="39"/>
      <c r="D154" s="26"/>
      <c r="E154" s="119"/>
      <c r="F154" s="27"/>
      <c r="G154" s="112" t="s">
        <v>405</v>
      </c>
      <c r="H154" s="113"/>
      <c r="I154" s="113"/>
      <c r="J154" s="113"/>
      <c r="K154" s="113"/>
    </row>
    <row r="155" spans="1:11" ht="33">
      <c r="A155" s="28" t="s">
        <v>329</v>
      </c>
      <c r="B155" s="29">
        <v>5</v>
      </c>
      <c r="C155" s="30">
        <v>2</v>
      </c>
      <c r="D155" s="31"/>
      <c r="E155" s="32" t="s">
        <v>181</v>
      </c>
      <c r="F155" s="27"/>
      <c r="G155" s="114" t="s">
        <v>402</v>
      </c>
      <c r="H155" s="114"/>
      <c r="I155" s="114"/>
      <c r="J155" s="115"/>
      <c r="K155" s="115" t="s">
        <v>393</v>
      </c>
    </row>
    <row r="156" spans="1:11" ht="33">
      <c r="A156" s="28" t="s">
        <v>330</v>
      </c>
      <c r="B156" s="29">
        <v>5</v>
      </c>
      <c r="C156" s="30">
        <v>2</v>
      </c>
      <c r="D156" s="31"/>
      <c r="E156" s="32" t="s">
        <v>181</v>
      </c>
      <c r="F156" s="27"/>
      <c r="G156" s="114" t="s">
        <v>403</v>
      </c>
      <c r="H156" s="116">
        <v>5.4</v>
      </c>
      <c r="I156" s="115">
        <v>2.16</v>
      </c>
      <c r="J156" s="114"/>
      <c r="K156" s="115" t="s">
        <v>181</v>
      </c>
    </row>
    <row r="157" spans="1:11" ht="33">
      <c r="A157" s="28" t="s">
        <v>331</v>
      </c>
      <c r="B157" s="29">
        <v>5</v>
      </c>
      <c r="C157" s="30">
        <v>2</v>
      </c>
      <c r="D157" s="31"/>
      <c r="E157" s="32" t="s">
        <v>181</v>
      </c>
      <c r="F157" s="27"/>
      <c r="G157" s="114" t="s">
        <v>404</v>
      </c>
      <c r="H157" s="114"/>
      <c r="I157" s="115"/>
      <c r="J157" s="114"/>
      <c r="K157" s="115"/>
    </row>
    <row r="158" spans="1:11" ht="33">
      <c r="A158" s="28" t="s">
        <v>332</v>
      </c>
      <c r="B158" s="29">
        <v>5</v>
      </c>
      <c r="C158" s="30">
        <v>2</v>
      </c>
      <c r="D158" s="31"/>
      <c r="E158" s="32" t="s">
        <v>181</v>
      </c>
      <c r="F158" s="27"/>
      <c r="G158" s="114" t="s">
        <v>403</v>
      </c>
      <c r="H158" s="116">
        <v>5.4</v>
      </c>
      <c r="I158" s="115">
        <v>2.16</v>
      </c>
      <c r="J158" s="114"/>
      <c r="K158" s="115" t="s">
        <v>181</v>
      </c>
    </row>
    <row r="159" spans="1:11" ht="33">
      <c r="A159" s="52"/>
      <c r="B159" s="117"/>
      <c r="C159" s="53"/>
      <c r="D159" s="118"/>
      <c r="E159" s="119"/>
      <c r="F159" s="27"/>
      <c r="G159" s="52" t="s">
        <v>333</v>
      </c>
      <c r="H159" s="52"/>
      <c r="I159" s="39"/>
      <c r="J159" s="26"/>
      <c r="K159" s="145" t="s">
        <v>407</v>
      </c>
    </row>
    <row r="160" spans="1:11" ht="33">
      <c r="A160" s="52" t="s">
        <v>334</v>
      </c>
      <c r="B160" s="52"/>
      <c r="C160" s="39"/>
      <c r="D160" s="26"/>
      <c r="E160" s="119"/>
      <c r="F160" s="27"/>
      <c r="G160" s="28" t="s">
        <v>335</v>
      </c>
      <c r="H160" s="29">
        <v>3.1</v>
      </c>
      <c r="I160" s="30">
        <v>1.24</v>
      </c>
      <c r="J160" s="31"/>
      <c r="K160" s="115" t="s">
        <v>181</v>
      </c>
    </row>
    <row r="161" spans="1:11" ht="33">
      <c r="A161" s="60" t="s">
        <v>336</v>
      </c>
      <c r="B161" s="42">
        <v>12.1</v>
      </c>
      <c r="C161" s="43">
        <v>4.84</v>
      </c>
      <c r="D161" s="31"/>
      <c r="E161" s="32" t="s">
        <v>181</v>
      </c>
      <c r="F161" s="27"/>
      <c r="G161" s="28" t="s">
        <v>337</v>
      </c>
      <c r="H161" s="29">
        <v>3.1</v>
      </c>
      <c r="I161" s="30">
        <v>1.24</v>
      </c>
      <c r="J161" s="31"/>
      <c r="K161" s="115" t="s">
        <v>181</v>
      </c>
    </row>
    <row r="162" spans="1:11" ht="33">
      <c r="A162" s="28" t="s">
        <v>338</v>
      </c>
      <c r="B162" s="29">
        <v>12.1</v>
      </c>
      <c r="C162" s="30">
        <v>4.84</v>
      </c>
      <c r="D162" s="31"/>
      <c r="E162" s="32" t="s">
        <v>181</v>
      </c>
      <c r="F162" s="27"/>
      <c r="G162" s="28" t="s">
        <v>339</v>
      </c>
      <c r="H162" s="29">
        <v>3.1</v>
      </c>
      <c r="I162" s="30">
        <v>1.24</v>
      </c>
      <c r="J162" s="31"/>
      <c r="K162" s="115" t="s">
        <v>181</v>
      </c>
    </row>
    <row r="163" spans="1:11" ht="33">
      <c r="A163" s="28" t="s">
        <v>340</v>
      </c>
      <c r="B163" s="29">
        <v>12.1</v>
      </c>
      <c r="C163" s="30">
        <v>4.84</v>
      </c>
      <c r="D163" s="31"/>
      <c r="E163" s="32" t="s">
        <v>181</v>
      </c>
      <c r="F163" s="27"/>
      <c r="G163" s="28" t="s">
        <v>341</v>
      </c>
      <c r="H163" s="29">
        <v>3.1</v>
      </c>
      <c r="I163" s="30">
        <v>1.24</v>
      </c>
      <c r="J163" s="31"/>
      <c r="K163" s="115" t="s">
        <v>181</v>
      </c>
    </row>
    <row r="164" spans="1:11" ht="30">
      <c r="A164" s="52"/>
      <c r="B164" s="117"/>
      <c r="C164" s="53"/>
      <c r="D164" s="118"/>
      <c r="E164" s="119"/>
      <c r="F164" s="27"/>
      <c r="G164" s="52"/>
      <c r="H164" s="117"/>
      <c r="I164" s="53"/>
      <c r="J164" s="118"/>
      <c r="K164" s="122"/>
    </row>
    <row r="165" spans="1:11" ht="30">
      <c r="A165" s="24" t="s">
        <v>342</v>
      </c>
      <c r="B165" s="24"/>
      <c r="C165" s="77"/>
      <c r="D165" s="26"/>
      <c r="E165" s="26"/>
      <c r="F165" s="27"/>
      <c r="G165" s="24" t="s">
        <v>343</v>
      </c>
      <c r="H165" s="24"/>
      <c r="I165" s="36"/>
      <c r="J165" s="26"/>
      <c r="K165" s="78"/>
    </row>
    <row r="166" spans="1:11" ht="30">
      <c r="A166" s="28" t="s">
        <v>344</v>
      </c>
      <c r="B166" s="29">
        <v>0.317</v>
      </c>
      <c r="C166" s="30">
        <v>0.127</v>
      </c>
      <c r="D166" s="31">
        <f>838*1.07*1.05</f>
        <v>941.4930000000002</v>
      </c>
      <c r="E166" s="32">
        <f aca="true" t="shared" si="8" ref="E166:E178">D166*1.18</f>
        <v>1110.9617400000002</v>
      </c>
      <c r="F166" s="27"/>
      <c r="G166" s="28" t="s">
        <v>345</v>
      </c>
      <c r="H166" s="29">
        <v>1.8</v>
      </c>
      <c r="I166" s="30" t="s">
        <v>36</v>
      </c>
      <c r="J166" s="31">
        <f>5305*1.07*1.05</f>
        <v>5960.1675000000005</v>
      </c>
      <c r="K166" s="79">
        <f aca="true" t="shared" si="9" ref="K166:K174">J166*1.18</f>
        <v>7032.99765</v>
      </c>
    </row>
    <row r="167" spans="1:11" ht="30">
      <c r="A167" s="28" t="s">
        <v>346</v>
      </c>
      <c r="B167" s="29">
        <v>1.32</v>
      </c>
      <c r="C167" s="30">
        <v>0.55</v>
      </c>
      <c r="D167" s="31">
        <f>3146*1.07*1.05</f>
        <v>3534.5310000000004</v>
      </c>
      <c r="E167" s="32">
        <f t="shared" si="8"/>
        <v>4170.74658</v>
      </c>
      <c r="F167" s="27"/>
      <c r="G167" s="28" t="s">
        <v>347</v>
      </c>
      <c r="H167" s="29">
        <v>6.7</v>
      </c>
      <c r="I167" s="30" t="s">
        <v>348</v>
      </c>
      <c r="J167" s="31">
        <f>20538*1.07*1.05</f>
        <v>23074.443</v>
      </c>
      <c r="K167" s="79">
        <f t="shared" si="9"/>
        <v>27227.842739999996</v>
      </c>
    </row>
    <row r="168" spans="1:11" ht="30">
      <c r="A168" s="28" t="s">
        <v>349</v>
      </c>
      <c r="B168" s="29">
        <v>1.66</v>
      </c>
      <c r="C168" s="30">
        <v>0.69</v>
      </c>
      <c r="D168" s="31">
        <f>3795*1.07*1.05</f>
        <v>4263.6825</v>
      </c>
      <c r="E168" s="32">
        <f t="shared" si="8"/>
        <v>5031.14535</v>
      </c>
      <c r="F168" s="27"/>
      <c r="G168" s="28" t="s">
        <v>350</v>
      </c>
      <c r="H168" s="29">
        <v>6.7</v>
      </c>
      <c r="I168" s="30" t="s">
        <v>348</v>
      </c>
      <c r="J168" s="31">
        <f>22010*1.07*1.05</f>
        <v>24728.235</v>
      </c>
      <c r="K168" s="79">
        <f t="shared" si="9"/>
        <v>29179.3173</v>
      </c>
    </row>
    <row r="169" spans="1:11" ht="30">
      <c r="A169" s="28" t="s">
        <v>351</v>
      </c>
      <c r="B169" s="29">
        <v>3.58</v>
      </c>
      <c r="C169" s="30">
        <v>1.49</v>
      </c>
      <c r="D169" s="31">
        <f>8195*1.07*1.05</f>
        <v>9207.0825</v>
      </c>
      <c r="E169" s="32">
        <f t="shared" si="8"/>
        <v>10864.35735</v>
      </c>
      <c r="F169" s="27"/>
      <c r="G169" s="28" t="s">
        <v>352</v>
      </c>
      <c r="H169" s="29">
        <v>4.9</v>
      </c>
      <c r="I169" s="30" t="s">
        <v>353</v>
      </c>
      <c r="J169" s="31">
        <f>14154*1.07*1.05</f>
        <v>15902.019000000002</v>
      </c>
      <c r="K169" s="79">
        <f t="shared" si="9"/>
        <v>18764.38242</v>
      </c>
    </row>
    <row r="170" spans="1:11" ht="30">
      <c r="A170" s="28" t="s">
        <v>354</v>
      </c>
      <c r="B170" s="29">
        <v>4.28</v>
      </c>
      <c r="C170" s="30">
        <v>1.75</v>
      </c>
      <c r="D170" s="31">
        <f>9625*1.07*1.05</f>
        <v>10813.6875</v>
      </c>
      <c r="E170" s="32">
        <f t="shared" si="8"/>
        <v>12760.151249999999</v>
      </c>
      <c r="F170" s="27"/>
      <c r="G170" s="28" t="s">
        <v>355</v>
      </c>
      <c r="H170" s="29">
        <v>4.9</v>
      </c>
      <c r="I170" s="30" t="s">
        <v>353</v>
      </c>
      <c r="J170" s="31">
        <f>14889*1.07*1.05</f>
        <v>16727.791500000003</v>
      </c>
      <c r="K170" s="79">
        <f t="shared" si="9"/>
        <v>19738.793970000002</v>
      </c>
    </row>
    <row r="171" spans="1:11" ht="30">
      <c r="A171" s="28" t="s">
        <v>356</v>
      </c>
      <c r="B171" s="87">
        <v>4.82</v>
      </c>
      <c r="C171" s="88">
        <v>2.01</v>
      </c>
      <c r="D171" s="31">
        <f>11055*1.07*1.05</f>
        <v>12420.292500000001</v>
      </c>
      <c r="E171" s="32">
        <f t="shared" si="8"/>
        <v>14655.945150000001</v>
      </c>
      <c r="F171" s="27"/>
      <c r="G171" s="28" t="s">
        <v>357</v>
      </c>
      <c r="H171" s="29">
        <v>8.1</v>
      </c>
      <c r="I171" s="30" t="s">
        <v>358</v>
      </c>
      <c r="J171" s="31">
        <f>24536*1.07*1.05</f>
        <v>27566.196</v>
      </c>
      <c r="K171" s="79">
        <f t="shared" si="9"/>
        <v>32528.111279999997</v>
      </c>
    </row>
    <row r="172" spans="1:11" ht="30">
      <c r="A172" s="61" t="s">
        <v>359</v>
      </c>
      <c r="B172" s="89">
        <v>0.828</v>
      </c>
      <c r="C172" s="90">
        <v>0.36</v>
      </c>
      <c r="D172" s="31">
        <f>2376*1.07*1.05</f>
        <v>2669.436</v>
      </c>
      <c r="E172" s="32">
        <f t="shared" si="8"/>
        <v>3149.93448</v>
      </c>
      <c r="F172" s="27"/>
      <c r="G172" s="28" t="s">
        <v>360</v>
      </c>
      <c r="H172" s="29">
        <v>8.1</v>
      </c>
      <c r="I172" s="30" t="s">
        <v>358</v>
      </c>
      <c r="J172" s="31">
        <f>27729*1.07*1.05</f>
        <v>31153.531500000005</v>
      </c>
      <c r="K172" s="79">
        <f t="shared" si="9"/>
        <v>36761.16717</v>
      </c>
    </row>
    <row r="173" spans="1:11" ht="30">
      <c r="A173" s="28" t="s">
        <v>361</v>
      </c>
      <c r="B173" s="51">
        <v>3.358</v>
      </c>
      <c r="C173" s="30">
        <v>1.46</v>
      </c>
      <c r="D173" s="31">
        <f>8030*1.07*1.05</f>
        <v>9021.705</v>
      </c>
      <c r="E173" s="32">
        <f t="shared" si="8"/>
        <v>10645.6119</v>
      </c>
      <c r="F173" s="27"/>
      <c r="G173" s="28" t="s">
        <v>362</v>
      </c>
      <c r="H173" s="29">
        <v>9.5</v>
      </c>
      <c r="I173" s="30" t="s">
        <v>363</v>
      </c>
      <c r="J173" s="31">
        <f>34078*1.07*1.05</f>
        <v>38286.633</v>
      </c>
      <c r="K173" s="79">
        <f t="shared" si="9"/>
        <v>45178.22694</v>
      </c>
    </row>
    <row r="174" spans="1:11" ht="30">
      <c r="A174" s="60" t="s">
        <v>364</v>
      </c>
      <c r="B174" s="63">
        <v>4.232</v>
      </c>
      <c r="C174" s="43">
        <v>1.84</v>
      </c>
      <c r="D174" s="31">
        <f>10120*1.07*1.05</f>
        <v>11369.820000000002</v>
      </c>
      <c r="E174" s="32">
        <f t="shared" si="8"/>
        <v>13416.387600000002</v>
      </c>
      <c r="F174" s="27"/>
      <c r="G174" s="28" t="s">
        <v>365</v>
      </c>
      <c r="H174" s="29">
        <v>9.5</v>
      </c>
      <c r="I174" s="30" t="s">
        <v>363</v>
      </c>
      <c r="J174" s="31">
        <f>33046*1.07*1.05</f>
        <v>37127.181000000004</v>
      </c>
      <c r="K174" s="79">
        <f t="shared" si="9"/>
        <v>43810.073580000004</v>
      </c>
    </row>
    <row r="175" spans="1:11" ht="30">
      <c r="A175" s="28" t="s">
        <v>366</v>
      </c>
      <c r="B175" s="51">
        <v>4.324</v>
      </c>
      <c r="C175" s="30">
        <v>1.88</v>
      </c>
      <c r="D175" s="31">
        <f>10340*1.07*1.05</f>
        <v>11616.990000000002</v>
      </c>
      <c r="E175" s="32">
        <f t="shared" si="8"/>
        <v>13708.048200000001</v>
      </c>
      <c r="F175" s="27"/>
      <c r="G175" s="27"/>
      <c r="H175" s="27"/>
      <c r="I175" s="27"/>
      <c r="J175" s="27"/>
      <c r="K175" s="27"/>
    </row>
    <row r="176" spans="1:11" ht="30">
      <c r="A176" s="28" t="s">
        <v>367</v>
      </c>
      <c r="B176" s="34">
        <v>1.61</v>
      </c>
      <c r="C176" s="35">
        <v>1.4</v>
      </c>
      <c r="D176" s="33">
        <f>11200*1.05</f>
        <v>11760</v>
      </c>
      <c r="E176" s="32">
        <f t="shared" si="8"/>
        <v>13876.8</v>
      </c>
      <c r="F176" s="27"/>
      <c r="G176" s="24" t="s">
        <v>368</v>
      </c>
      <c r="H176" s="24"/>
      <c r="I176" s="85"/>
      <c r="J176" s="26"/>
      <c r="K176" s="78"/>
    </row>
    <row r="177" spans="1:11" ht="30">
      <c r="A177" s="28" t="s">
        <v>369</v>
      </c>
      <c r="B177" s="91">
        <v>2.047</v>
      </c>
      <c r="C177" s="35">
        <v>1.78</v>
      </c>
      <c r="D177" s="33">
        <f>14240*1.05</f>
        <v>14952</v>
      </c>
      <c r="E177" s="32">
        <f t="shared" si="8"/>
        <v>17643.36</v>
      </c>
      <c r="F177" s="27"/>
      <c r="G177" s="28" t="s">
        <v>370</v>
      </c>
      <c r="H177" s="29">
        <v>0.7</v>
      </c>
      <c r="I177" s="86">
        <v>0.28</v>
      </c>
      <c r="J177" s="31">
        <f>1365*0.95*1.07*1.05</f>
        <v>1456.898625</v>
      </c>
      <c r="K177" s="79">
        <f>J177*1.18</f>
        <v>1719.1403774999999</v>
      </c>
    </row>
    <row r="178" spans="1:11" ht="30">
      <c r="A178" s="28" t="s">
        <v>371</v>
      </c>
      <c r="B178" s="91">
        <v>2.093</v>
      </c>
      <c r="C178" s="35">
        <v>1.82</v>
      </c>
      <c r="D178" s="33">
        <f>14560*1.05</f>
        <v>15288</v>
      </c>
      <c r="E178" s="32">
        <f t="shared" si="8"/>
        <v>18039.84</v>
      </c>
      <c r="F178" s="27"/>
      <c r="G178" s="92"/>
      <c r="H178" s="92"/>
      <c r="I178" s="92"/>
      <c r="J178" s="93"/>
      <c r="K178" s="94"/>
    </row>
    <row r="179" spans="1:11" ht="30">
      <c r="A179" s="27"/>
      <c r="B179" s="27"/>
      <c r="C179" s="27"/>
      <c r="D179" s="27"/>
      <c r="E179" s="27"/>
      <c r="F179" s="27"/>
      <c r="G179" s="92" t="s">
        <v>372</v>
      </c>
      <c r="H179" s="92"/>
      <c r="I179" s="92"/>
      <c r="J179" s="93"/>
      <c r="K179" s="94"/>
    </row>
    <row r="180" spans="1:11" ht="30">
      <c r="A180" s="24" t="s">
        <v>373</v>
      </c>
      <c r="B180" s="24"/>
      <c r="C180" s="85"/>
      <c r="D180" s="26"/>
      <c r="E180" s="26"/>
      <c r="F180" s="27"/>
      <c r="G180" s="33" t="s">
        <v>374</v>
      </c>
      <c r="H180" s="34">
        <v>1.13</v>
      </c>
      <c r="I180" s="35">
        <v>0.45</v>
      </c>
      <c r="J180" s="95">
        <f>7162*0.95*1.07*1.05</f>
        <v>7644.18165</v>
      </c>
      <c r="K180" s="96">
        <f>J180*1.18</f>
        <v>9020.134347</v>
      </c>
    </row>
    <row r="181" spans="1:11" ht="30">
      <c r="A181" s="28" t="s">
        <v>375</v>
      </c>
      <c r="B181" s="29">
        <v>1.98</v>
      </c>
      <c r="C181" s="86">
        <v>0.79</v>
      </c>
      <c r="D181" s="31">
        <f>20558*0.95*1.07*1.05</f>
        <v>21942.06735</v>
      </c>
      <c r="E181" s="32">
        <f aca="true" t="shared" si="10" ref="E181:E188">D181*1.18</f>
        <v>25891.639473</v>
      </c>
      <c r="F181" s="27"/>
      <c r="G181" s="33" t="s">
        <v>376</v>
      </c>
      <c r="H181" s="34">
        <v>0.85</v>
      </c>
      <c r="I181" s="30">
        <v>0.34</v>
      </c>
      <c r="J181" s="31">
        <f>7782*0.95*1.07*1.05</f>
        <v>8305.92315</v>
      </c>
      <c r="K181" s="79">
        <f>J181*1.18</f>
        <v>9800.989317</v>
      </c>
    </row>
    <row r="182" spans="1:11" ht="30">
      <c r="A182" s="28" t="s">
        <v>377</v>
      </c>
      <c r="B182" s="29">
        <v>1.68</v>
      </c>
      <c r="C182" s="30">
        <v>0.67</v>
      </c>
      <c r="D182" s="31">
        <f>19212*0.95*1.07*1.05</f>
        <v>20505.4479</v>
      </c>
      <c r="E182" s="32">
        <f t="shared" si="10"/>
        <v>24196.428522</v>
      </c>
      <c r="F182" s="27"/>
      <c r="G182" s="33" t="s">
        <v>378</v>
      </c>
      <c r="H182" s="34">
        <v>1.05</v>
      </c>
      <c r="I182" s="35">
        <v>0.42</v>
      </c>
      <c r="J182" s="31">
        <f>8041*0.95*1.07*1.05</f>
        <v>8582.360325000001</v>
      </c>
      <c r="K182" s="32">
        <f>J182*1.18</f>
        <v>10127.185183500002</v>
      </c>
    </row>
    <row r="183" spans="1:11" ht="30">
      <c r="A183" s="28" t="s">
        <v>379</v>
      </c>
      <c r="B183" s="29">
        <v>2.4</v>
      </c>
      <c r="C183" s="30">
        <v>0.96</v>
      </c>
      <c r="D183" s="31">
        <f>27580*0.95*1.07*1.05</f>
        <v>29436.823500000006</v>
      </c>
      <c r="E183" s="32">
        <f t="shared" si="10"/>
        <v>34735.45173000001</v>
      </c>
      <c r="F183" s="27"/>
      <c r="G183" s="27"/>
      <c r="H183" s="27"/>
      <c r="I183" s="27"/>
      <c r="J183" s="27"/>
      <c r="K183" s="93"/>
    </row>
    <row r="184" spans="1:11" ht="30">
      <c r="A184" s="28" t="s">
        <v>380</v>
      </c>
      <c r="B184" s="29">
        <v>3.28</v>
      </c>
      <c r="C184" s="30">
        <v>1.31</v>
      </c>
      <c r="D184" s="31">
        <f>37414*1.05</f>
        <v>39284.700000000004</v>
      </c>
      <c r="E184" s="32">
        <f t="shared" si="10"/>
        <v>46355.946</v>
      </c>
      <c r="F184" s="27"/>
      <c r="G184" s="97" t="s">
        <v>381</v>
      </c>
      <c r="H184" s="97"/>
      <c r="I184" s="98"/>
      <c r="J184" s="99"/>
      <c r="K184" s="57"/>
    </row>
    <row r="185" spans="1:11" ht="30">
      <c r="A185" s="28" t="s">
        <v>382</v>
      </c>
      <c r="B185" s="29">
        <v>4.03</v>
      </c>
      <c r="C185" s="30">
        <v>1.61</v>
      </c>
      <c r="D185" s="31">
        <f>47788*1.05</f>
        <v>50177.4</v>
      </c>
      <c r="E185" s="32">
        <f t="shared" si="10"/>
        <v>59209.332</v>
      </c>
      <c r="F185" s="27"/>
      <c r="G185" s="61" t="s">
        <v>383</v>
      </c>
      <c r="H185" s="62">
        <v>1.68</v>
      </c>
      <c r="I185" s="90">
        <v>0.67</v>
      </c>
      <c r="J185" s="100">
        <f>6685*0.95*1.07*1.05</f>
        <v>7135.067625000001</v>
      </c>
      <c r="K185" s="32">
        <f>J185*1.18</f>
        <v>8419.3797975</v>
      </c>
    </row>
    <row r="186" spans="1:11" ht="30">
      <c r="A186" s="28" t="s">
        <v>384</v>
      </c>
      <c r="B186" s="29">
        <v>5.2</v>
      </c>
      <c r="C186" s="30">
        <v>2.08</v>
      </c>
      <c r="D186" s="31">
        <f>72071*0.95*1.07*1.05</f>
        <v>76923.180075</v>
      </c>
      <c r="E186" s="32">
        <f t="shared" si="10"/>
        <v>90769.3524885</v>
      </c>
      <c r="F186" s="27"/>
      <c r="G186" s="28" t="s">
        <v>385</v>
      </c>
      <c r="H186" s="29">
        <v>0.58</v>
      </c>
      <c r="I186" s="30" t="s">
        <v>386</v>
      </c>
      <c r="J186" s="31">
        <f>1609*0.95*1.07*1.05</f>
        <v>1717.325925</v>
      </c>
      <c r="K186" s="32">
        <f>J186*1.18</f>
        <v>2026.4445915000001</v>
      </c>
    </row>
    <row r="187" spans="1:11" ht="30">
      <c r="A187" s="28" t="s">
        <v>387</v>
      </c>
      <c r="B187" s="29">
        <v>4.25</v>
      </c>
      <c r="C187" s="35">
        <v>2.35</v>
      </c>
      <c r="D187" s="31">
        <f>39062*0.95*1.07*1.05</f>
        <v>41691.84915</v>
      </c>
      <c r="E187" s="32">
        <f t="shared" si="10"/>
        <v>49196.381997</v>
      </c>
      <c r="F187" s="27"/>
      <c r="G187" s="83" t="s">
        <v>388</v>
      </c>
      <c r="H187" s="84">
        <v>0.45</v>
      </c>
      <c r="I187" s="82">
        <v>0.18</v>
      </c>
      <c r="J187" s="46">
        <f>1709*0.95*1.07*1.05</f>
        <v>1824.058425</v>
      </c>
      <c r="K187" s="32">
        <f>J187*1.18</f>
        <v>2152.3889415</v>
      </c>
    </row>
    <row r="188" spans="1:11" ht="30">
      <c r="A188" s="28" t="s">
        <v>389</v>
      </c>
      <c r="B188" s="29">
        <v>4.65</v>
      </c>
      <c r="C188" s="35">
        <v>1.86</v>
      </c>
      <c r="D188" s="31">
        <f>66301*0.95*1.07*1.05</f>
        <v>70764.714825</v>
      </c>
      <c r="E188" s="32">
        <f t="shared" si="10"/>
        <v>83502.3634935</v>
      </c>
      <c r="F188" s="27"/>
      <c r="G188" s="83" t="s">
        <v>390</v>
      </c>
      <c r="H188" s="84">
        <v>1.975</v>
      </c>
      <c r="I188" s="82">
        <v>0.79</v>
      </c>
      <c r="J188" s="46">
        <f>9144*0.95*1.07*1.05</f>
        <v>9759.6198</v>
      </c>
      <c r="K188" s="32">
        <f>J188*1.18</f>
        <v>11516.351364</v>
      </c>
    </row>
    <row r="189" spans="1:11" ht="30">
      <c r="A189" s="47"/>
      <c r="B189" s="117"/>
      <c r="C189" s="123"/>
      <c r="D189" s="118"/>
      <c r="E189" s="119"/>
      <c r="F189" s="27"/>
      <c r="G189" s="124"/>
      <c r="H189" s="125"/>
      <c r="I189" s="120"/>
      <c r="J189" s="121"/>
      <c r="K189" s="119"/>
    </row>
    <row r="190" spans="1:11" ht="33">
      <c r="A190" s="101" t="s">
        <v>391</v>
      </c>
      <c r="B190" s="27"/>
      <c r="C190" s="27"/>
      <c r="D190" s="27"/>
      <c r="E190" s="27"/>
      <c r="F190" s="27"/>
      <c r="G190" s="92" t="s">
        <v>392</v>
      </c>
      <c r="H190" s="92"/>
      <c r="I190" s="92"/>
      <c r="J190" s="102"/>
      <c r="K190" s="146" t="s">
        <v>393</v>
      </c>
    </row>
    <row r="191" spans="1:11" ht="30">
      <c r="A191" s="83" t="s">
        <v>394</v>
      </c>
      <c r="B191" s="84">
        <v>0.12</v>
      </c>
      <c r="C191" s="83">
        <v>0.052</v>
      </c>
      <c r="D191" s="46">
        <f>833*1.05</f>
        <v>874.6500000000001</v>
      </c>
      <c r="E191" s="79">
        <f>D191*1.18</f>
        <v>1032.087</v>
      </c>
      <c r="F191" s="27"/>
      <c r="G191" s="83" t="s">
        <v>395</v>
      </c>
      <c r="H191" s="84">
        <v>0.93</v>
      </c>
      <c r="I191" s="103">
        <v>0.37</v>
      </c>
      <c r="J191" s="83"/>
      <c r="K191" s="147" t="s">
        <v>181</v>
      </c>
    </row>
    <row r="192" spans="1:11" ht="30">
      <c r="A192" s="83" t="s">
        <v>396</v>
      </c>
      <c r="B192" s="84">
        <v>0.4</v>
      </c>
      <c r="C192" s="83">
        <v>0.161</v>
      </c>
      <c r="D192" s="46">
        <f>1543*0.95*1.07*1.05</f>
        <v>1646.882475</v>
      </c>
      <c r="E192" s="79">
        <f>D192*1.18</f>
        <v>1943.3213205</v>
      </c>
      <c r="F192" s="27"/>
      <c r="G192" s="104" t="s">
        <v>397</v>
      </c>
      <c r="H192" s="84">
        <v>0.45</v>
      </c>
      <c r="I192" s="103">
        <v>0.18</v>
      </c>
      <c r="J192" s="83"/>
      <c r="K192" s="147" t="s">
        <v>181</v>
      </c>
    </row>
    <row r="193" spans="6:11" ht="30">
      <c r="F193" s="27"/>
      <c r="G193" s="104" t="s">
        <v>398</v>
      </c>
      <c r="H193" s="84">
        <v>1.63</v>
      </c>
      <c r="I193" s="103">
        <v>0.65</v>
      </c>
      <c r="J193" s="83"/>
      <c r="K193" s="147" t="s">
        <v>181</v>
      </c>
    </row>
    <row r="194" spans="6:11" ht="30">
      <c r="F194" s="27"/>
      <c r="G194" s="104" t="s">
        <v>399</v>
      </c>
      <c r="H194" s="84">
        <v>0.5</v>
      </c>
      <c r="I194" s="103">
        <v>0.2</v>
      </c>
      <c r="J194" s="83"/>
      <c r="K194" s="147" t="s">
        <v>181</v>
      </c>
    </row>
    <row r="195" spans="6:11" ht="30">
      <c r="F195" s="27"/>
      <c r="G195" s="104" t="s">
        <v>400</v>
      </c>
      <c r="H195" s="84">
        <v>2.3</v>
      </c>
      <c r="I195" s="103">
        <v>0.91</v>
      </c>
      <c r="J195" s="83"/>
      <c r="K195" s="147" t="s">
        <v>181</v>
      </c>
    </row>
    <row r="196" spans="1:11" ht="45">
      <c r="A196" s="127" t="s">
        <v>411</v>
      </c>
      <c r="B196" s="127"/>
      <c r="C196" s="127"/>
      <c r="D196" s="127"/>
      <c r="F196" s="27"/>
      <c r="G196" s="104" t="s">
        <v>401</v>
      </c>
      <c r="H196" s="84">
        <v>1.45</v>
      </c>
      <c r="I196" s="103">
        <v>0.58</v>
      </c>
      <c r="J196" s="83"/>
      <c r="K196" s="147" t="s">
        <v>181</v>
      </c>
    </row>
    <row r="197" spans="6:11" ht="30">
      <c r="F197" s="27"/>
      <c r="G197" s="27"/>
      <c r="H197" s="27"/>
      <c r="I197" s="27"/>
      <c r="J197" s="27"/>
      <c r="K197" s="27"/>
    </row>
    <row r="198" spans="6:11" ht="30">
      <c r="F198" s="27"/>
      <c r="G198" s="27"/>
      <c r="H198" s="27"/>
      <c r="I198" s="27"/>
      <c r="J198" s="27"/>
      <c r="K198" s="27"/>
    </row>
    <row r="199" spans="1:11" ht="30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ht="30">
      <c r="E200" s="27"/>
    </row>
    <row r="202" spans="1:5" ht="30">
      <c r="A202" s="52"/>
      <c r="B202" s="52"/>
      <c r="C202" s="39"/>
      <c r="D202" s="41"/>
      <c r="E202" s="81"/>
    </row>
    <row r="203" spans="1:5" ht="30">
      <c r="A203" s="52"/>
      <c r="B203" s="117"/>
      <c r="C203" s="53"/>
      <c r="D203" s="118"/>
      <c r="E203" s="122"/>
    </row>
    <row r="204" spans="1:5" ht="30">
      <c r="A204" s="52"/>
      <c r="B204" s="117"/>
      <c r="C204" s="53"/>
      <c r="D204" s="118"/>
      <c r="E204" s="122"/>
    </row>
    <row r="205" spans="1:5" ht="30">
      <c r="A205" s="52"/>
      <c r="B205" s="117"/>
      <c r="C205" s="53"/>
      <c r="D205" s="118"/>
      <c r="E205" s="122"/>
    </row>
  </sheetData>
  <sheetProtection/>
  <printOptions/>
  <pageMargins left="0.24" right="0.24" top="0.43" bottom="0.67" header="0.34" footer="0.5118110236220472"/>
  <pageSetup fitToHeight="2" horizontalDpi="600" verticalDpi="600" orientation="portrait" paperSize="9" scale="24" r:id="rId2"/>
  <rowBreaks count="1" manualBreakCount="1">
    <brk id="9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Баженова_НН</dc:creator>
  <cp:keywords/>
  <dc:description/>
  <cp:lastModifiedBy>User</cp:lastModifiedBy>
  <cp:lastPrinted>2014-12-18T05:57:40Z</cp:lastPrinted>
  <dcterms:created xsi:type="dcterms:W3CDTF">2013-01-23T09:39:00Z</dcterms:created>
  <dcterms:modified xsi:type="dcterms:W3CDTF">2018-09-13T09:20:50Z</dcterms:modified>
  <cp:category/>
  <cp:version/>
  <cp:contentType/>
  <cp:contentStatus/>
</cp:coreProperties>
</file>